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backupFile="1" codeName="ThisWorkbook"/>
  <mc:AlternateContent xmlns:mc="http://schemas.openxmlformats.org/markup-compatibility/2006">
    <mc:Choice Requires="x15">
      <x15ac:absPath xmlns:x15ac="http://schemas.microsoft.com/office/spreadsheetml/2010/11/ac" url="C:\Users\alexi\Documents\scolaire\IPSA\AeroIpsa\SP02\STABTRAJ\pro24_4_4_new\Beta\"/>
    </mc:Choice>
  </mc:AlternateContent>
  <xr:revisionPtr revIDLastSave="0" documentId="13_ncr:1_{CD719C78-1180-46E1-8B49-B64FB3A9B7C9}" xr6:coauthVersionLast="47" xr6:coauthVersionMax="47" xr10:uidLastSave="{00000000-0000-0000-0000-000000000000}"/>
  <bookViews>
    <workbookView xWindow="-120" yWindow="-120" windowWidth="29040" windowHeight="15990" activeTab="1"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Propu!$A$317:$A$346</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Stabilito!$B$97:$B$101</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B43" i="1"/>
  <c r="C10" i="6"/>
  <c r="E10" i="6" s="1"/>
  <c r="C10" i="8" s="1"/>
  <c r="L324" i="4"/>
  <c r="L323" i="4"/>
  <c r="L322" i="4"/>
  <c r="L321" i="4"/>
  <c r="L320" i="4"/>
  <c r="L319" i="4"/>
  <c r="L318" i="4"/>
  <c r="L317"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5" i="4" s="1"/>
  <c r="I104" i="4"/>
  <c r="H104" i="4"/>
  <c r="G104" i="4"/>
  <c r="G105" i="4" s="1"/>
  <c r="F104" i="4"/>
  <c r="E104" i="4"/>
  <c r="E105" i="4" s="1"/>
  <c r="D104" i="4"/>
  <c r="C104" i="4"/>
  <c r="B104" i="4"/>
  <c r="L102" i="4"/>
  <c r="H102" i="4"/>
  <c r="B102" i="4"/>
  <c r="X99" i="4"/>
  <c r="W99" i="4"/>
  <c r="V99" i="4"/>
  <c r="U99" i="4"/>
  <c r="T99" i="4"/>
  <c r="S99" i="4"/>
  <c r="R100" i="4" s="1"/>
  <c r="R99" i="4"/>
  <c r="Q99" i="4"/>
  <c r="P99" i="4"/>
  <c r="P100" i="4" s="1"/>
  <c r="O99" i="4"/>
  <c r="N99" i="4"/>
  <c r="M99" i="4"/>
  <c r="L99" i="4"/>
  <c r="K99" i="4"/>
  <c r="J99" i="4"/>
  <c r="J100" i="4" s="1"/>
  <c r="I99" i="4"/>
  <c r="H99" i="4"/>
  <c r="G99" i="4"/>
  <c r="F99" i="4"/>
  <c r="E100" i="4"/>
  <c r="E99" i="4"/>
  <c r="D99" i="4"/>
  <c r="C99" i="4"/>
  <c r="B99" i="4"/>
  <c r="L97" i="4"/>
  <c r="H97" i="4"/>
  <c r="B97" i="4"/>
  <c r="X95" i="4"/>
  <c r="W95" i="4"/>
  <c r="V95" i="4"/>
  <c r="U95" i="4"/>
  <c r="T95" i="4"/>
  <c r="S95" i="4"/>
  <c r="R95" i="4"/>
  <c r="Q95" i="4"/>
  <c r="P95" i="4"/>
  <c r="O95" i="4"/>
  <c r="N95" i="4"/>
  <c r="M95" i="4"/>
  <c r="L95" i="4"/>
  <c r="K95" i="4"/>
  <c r="J95" i="4"/>
  <c r="I95" i="4"/>
  <c r="H95" i="4"/>
  <c r="D92" i="4" s="1"/>
  <c r="F92" i="4" s="1"/>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D133" i="4" s="1"/>
  <c r="F133" i="4" s="1"/>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D51" i="4" s="1"/>
  <c r="F51" i="4" s="1"/>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D56" i="4" s="1"/>
  <c r="F56" i="4" s="1"/>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D72" i="4" s="1"/>
  <c r="F72" i="4" s="1"/>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D77" i="4" s="1"/>
  <c r="F77" i="4" s="1"/>
  <c r="X80" i="4"/>
  <c r="J77" i="4"/>
  <c r="C84" i="4"/>
  <c r="B84" i="4"/>
  <c r="B85" i="4" s="1"/>
  <c r="D84" i="4"/>
  <c r="E84" i="4"/>
  <c r="F84" i="4"/>
  <c r="E85" i="4" s="1"/>
  <c r="G84" i="4"/>
  <c r="F85" i="4" s="1"/>
  <c r="H84" i="4"/>
  <c r="H85" i="4" s="1"/>
  <c r="I84" i="4"/>
  <c r="J84" i="4"/>
  <c r="K84" i="4"/>
  <c r="L84" i="4"/>
  <c r="L85" i="4" s="1"/>
  <c r="M84" i="4"/>
  <c r="N84" i="4"/>
  <c r="M85" i="4" s="1"/>
  <c r="O84" i="4"/>
  <c r="P84" i="4"/>
  <c r="Q84" i="4"/>
  <c r="P85" i="4" s="1"/>
  <c r="R84" i="4"/>
  <c r="S84" i="4"/>
  <c r="S85" i="4" s="1"/>
  <c r="T84" i="4"/>
  <c r="U84" i="4"/>
  <c r="V84" i="4"/>
  <c r="W84" i="4"/>
  <c r="V85" i="4" s="1"/>
  <c r="X84" i="4"/>
  <c r="W85" i="4" s="1"/>
  <c r="H82" i="4"/>
  <c r="L82" i="4"/>
  <c r="C89" i="4"/>
  <c r="B89" i="4"/>
  <c r="D89" i="4"/>
  <c r="D90" i="4" s="1"/>
  <c r="E89" i="4"/>
  <c r="F89" i="4"/>
  <c r="G89" i="4"/>
  <c r="F90" i="4" s="1"/>
  <c r="H89" i="4"/>
  <c r="I89" i="4"/>
  <c r="J89" i="4"/>
  <c r="J90" i="4" s="1"/>
  <c r="K89" i="4"/>
  <c r="L89" i="4"/>
  <c r="M89" i="4"/>
  <c r="N89" i="4"/>
  <c r="O89" i="4"/>
  <c r="O90" i="4" s="1"/>
  <c r="P89" i="4"/>
  <c r="Q89" i="4"/>
  <c r="R89" i="4"/>
  <c r="S89" i="4"/>
  <c r="R90" i="4" s="1"/>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D138" i="4" s="1"/>
  <c r="F138" i="4" s="1"/>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D153" i="4" s="1"/>
  <c r="F153" i="4" s="1"/>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D173" i="4" s="1"/>
  <c r="F173" i="4" s="1"/>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D183" i="4" s="1"/>
  <c r="F183" i="4" s="1"/>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U85" i="4"/>
  <c r="O85" i="4"/>
  <c r="R216" i="4"/>
  <c r="V115" i="4"/>
  <c r="J87" i="4"/>
  <c r="S90" i="4"/>
  <c r="Q90" i="4"/>
  <c r="K90" i="4"/>
  <c r="I90" i="4"/>
  <c r="G90" i="4"/>
  <c r="T214" i="4"/>
  <c r="U214" i="4" s="1"/>
  <c r="V214" i="4" s="1"/>
  <c r="W214" i="4" s="1"/>
  <c r="D269" i="4"/>
  <c r="F269" i="4" s="1"/>
  <c r="X85" i="4"/>
  <c r="T85" i="4"/>
  <c r="R85" i="4"/>
  <c r="J85" i="4"/>
  <c r="D85" i="4"/>
  <c r="L90" i="4"/>
  <c r="D36" i="4"/>
  <c r="F36" i="4" s="1"/>
  <c r="D31" i="4"/>
  <c r="F31" i="4" s="1"/>
  <c r="U165" i="4"/>
  <c r="T166" i="4" s="1"/>
  <c r="R201" i="4"/>
  <c r="K196" i="4"/>
  <c r="T211" i="4"/>
  <c r="S226" i="4"/>
  <c r="S251" i="4"/>
  <c r="L246" i="4"/>
  <c r="K246" i="4"/>
  <c r="R251" i="4"/>
  <c r="U116" i="4"/>
  <c r="W115" i="4"/>
  <c r="X115" i="4" s="1"/>
  <c r="V116" i="4"/>
  <c r="U211" i="4"/>
  <c r="M246" i="4"/>
  <c r="V250" i="4"/>
  <c r="T251" i="4"/>
  <c r="V211" i="4"/>
  <c r="N246" i="4"/>
  <c r="X245" i="4"/>
  <c r="W211" i="4"/>
  <c r="X211" i="4"/>
  <c r="O246" i="4"/>
  <c r="P246" i="4"/>
  <c r="Q246" i="4"/>
  <c r="R246" i="4"/>
  <c r="S246" i="4"/>
  <c r="T246" i="4"/>
  <c r="U246" i="4"/>
  <c r="X244" i="4"/>
  <c r="V246" i="4"/>
  <c r="W130" i="4"/>
  <c r="V131" i="4" s="1"/>
  <c r="U125" i="4"/>
  <c r="V125" i="4" s="1"/>
  <c r="R241" i="4"/>
  <c r="P14" i="6"/>
  <c r="E11" i="7" s="1"/>
  <c r="C133" i="6"/>
  <c r="D161" i="6"/>
  <c r="E161" i="6" s="1"/>
  <c r="D158" i="6"/>
  <c r="E158" i="6" s="1"/>
  <c r="D162" i="6"/>
  <c r="E162" i="6" s="1"/>
  <c r="D160" i="6"/>
  <c r="E160" i="6" s="1"/>
  <c r="D159" i="6"/>
  <c r="E159" i="6" s="1"/>
  <c r="S206" i="4"/>
  <c r="R206" i="4"/>
  <c r="T206" i="4"/>
  <c r="U206" i="4"/>
  <c r="X205" i="4"/>
  <c r="W206" i="4" s="1"/>
  <c r="V206" i="4"/>
  <c r="X100" i="4"/>
  <c r="L105" i="4"/>
  <c r="C105" i="4"/>
  <c r="K105" i="4"/>
  <c r="O105" i="4"/>
  <c r="S100" i="4"/>
  <c r="U100" i="4"/>
  <c r="H100" i="4"/>
  <c r="Q100" i="4"/>
  <c r="Q105" i="4"/>
  <c r="I38" i="7" l="1"/>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X116" i="4"/>
  <c r="U239" i="4"/>
  <c r="V239" i="4" s="1"/>
  <c r="W239" i="4" s="1"/>
  <c r="X239" i="4" s="1"/>
  <c r="S241" i="4"/>
  <c r="U126" i="4"/>
  <c r="W125" i="4"/>
  <c r="S216" i="4"/>
  <c r="U215" i="4"/>
  <c r="T216" i="4" s="1"/>
  <c r="D309" i="4"/>
  <c r="F309" i="4" s="1"/>
  <c r="D299" i="4"/>
  <c r="F299" i="4" s="1"/>
  <c r="D294" i="4"/>
  <c r="F294" i="4" s="1"/>
  <c r="D208" i="4"/>
  <c r="F208" i="4" s="1"/>
  <c r="B90" i="4"/>
  <c r="U121" i="4"/>
  <c r="U110" i="4"/>
  <c r="J97" i="4"/>
  <c r="F100" i="4"/>
  <c r="N100" i="4"/>
  <c r="T100" i="4"/>
  <c r="V105" i="4"/>
  <c r="T241"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V241" i="4"/>
  <c r="U235" i="4"/>
  <c r="S236" i="4"/>
  <c r="D113" i="4"/>
  <c r="F113" i="4" s="1"/>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D35" i="6"/>
  <c r="O21" i="6" s="1"/>
  <c r="B54" i="8"/>
  <c r="C54" i="8" s="1"/>
  <c r="D26" i="7"/>
  <c r="B53" i="8"/>
  <c r="C53" i="8" s="1"/>
  <c r="B60" i="8"/>
  <c r="C60" i="8" s="1"/>
  <c r="B66" i="8"/>
  <c r="C66" i="8" s="1"/>
  <c r="B52" i="8"/>
  <c r="C52" i="8" s="1"/>
  <c r="B57" i="8"/>
  <c r="C57" i="8" s="1"/>
  <c r="T14" i="6"/>
  <c r="C173" i="6"/>
  <c r="C172" i="6"/>
  <c r="C195" i="6"/>
  <c r="A317" i="4" a="1"/>
  <c r="A341" i="4" s="1"/>
  <c r="D148" i="4"/>
  <c r="F148" i="4" s="1"/>
  <c r="E107" i="7"/>
  <c r="H28" i="1"/>
  <c r="H67" i="7"/>
  <c r="H17" i="7"/>
  <c r="B107" i="1"/>
  <c r="E24" i="1"/>
  <c r="B109" i="1"/>
  <c r="H48" i="1"/>
  <c r="B158" i="1"/>
  <c r="B132" i="1"/>
  <c r="G4" i="3"/>
  <c r="C139" i="6"/>
  <c r="C134" i="6"/>
  <c r="C143" i="6"/>
  <c r="C146" i="6"/>
  <c r="AD4" i="3"/>
  <c r="E190" i="6"/>
  <c r="D32" i="1"/>
  <c r="I68" i="7" s="1"/>
  <c r="C11" i="8"/>
  <c r="AE4" i="3"/>
  <c r="T19" i="6"/>
  <c r="C142" i="6"/>
  <c r="C141" i="6"/>
  <c r="C145" i="6"/>
  <c r="I71" i="7"/>
  <c r="H5" i="7"/>
  <c r="B77"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Q3" i="4"/>
  <c r="Y4" i="4"/>
  <c r="T3" i="4"/>
  <c r="C163" i="6" l="1"/>
  <c r="C166" i="6"/>
  <c r="C167" i="6"/>
  <c r="E4" i="7"/>
  <c r="V215" i="4"/>
  <c r="W215" i="4" s="1"/>
  <c r="V121" i="4"/>
  <c r="U241" i="4"/>
  <c r="D82" i="4"/>
  <c r="F82" i="4" s="1"/>
  <c r="D97" i="4"/>
  <c r="F97" i="4" s="1"/>
  <c r="D243" i="4"/>
  <c r="F243" i="4" s="1"/>
  <c r="W251" i="4"/>
  <c r="W165" i="4"/>
  <c r="D87" i="4"/>
  <c r="F87" i="4" s="1"/>
  <c r="O194" i="4"/>
  <c r="M196" i="4"/>
  <c r="V166" i="4"/>
  <c r="X165" i="4"/>
  <c r="V126" i="4"/>
  <c r="X125" i="4"/>
  <c r="V251" i="4"/>
  <c r="D248" i="4" s="1"/>
  <c r="F248" i="4" s="1"/>
  <c r="X131" i="4"/>
  <c r="W131" i="4"/>
  <c r="D128" i="4" s="1"/>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W4" i="4"/>
  <c r="I3" i="4"/>
  <c r="R2" i="4"/>
  <c r="S3" i="4"/>
  <c r="E3" i="4"/>
  <c r="O3" i="4"/>
  <c r="G3" i="4"/>
  <c r="H4" i="4"/>
  <c r="Q4" i="4"/>
  <c r="V3" i="4"/>
  <c r="H2" i="4"/>
  <c r="J3" i="4"/>
  <c r="L3" i="4"/>
  <c r="U3" i="4"/>
  <c r="C3" i="4"/>
  <c r="K3" i="4"/>
  <c r="X3" i="4"/>
  <c r="O4" i="4"/>
  <c r="L2" i="4"/>
  <c r="K4" i="4"/>
  <c r="U4" i="4"/>
  <c r="J2" i="4"/>
  <c r="I4" i="4"/>
  <c r="T4" i="4"/>
  <c r="Z2" i="4"/>
  <c r="D4" i="4"/>
  <c r="P4" i="4"/>
  <c r="W3" i="4"/>
  <c r="V2" i="4"/>
  <c r="D3" i="4"/>
  <c r="E4" i="4"/>
  <c r="N2" i="4"/>
  <c r="N3" i="4"/>
  <c r="J4" i="4"/>
  <c r="M3" i="4"/>
  <c r="P2" i="4"/>
  <c r="B4" i="4"/>
  <c r="F3" i="4"/>
  <c r="L4" i="4"/>
  <c r="S4" i="4"/>
  <c r="V4" i="4"/>
  <c r="F4" i="4"/>
  <c r="G4" i="4"/>
  <c r="X2" i="4"/>
  <c r="N4" i="4"/>
  <c r="Y3" i="4"/>
  <c r="B3" i="4"/>
  <c r="M4" i="4"/>
  <c r="P3" i="4"/>
  <c r="X4" i="4"/>
  <c r="T2" i="4"/>
  <c r="R3" i="4"/>
  <c r="R4" i="4"/>
  <c r="H3" i="4"/>
  <c r="C4" i="4"/>
  <c r="D166" i="6" l="1"/>
  <c r="E166" i="6" s="1"/>
  <c r="D167" i="6"/>
  <c r="E167" i="6" s="1"/>
  <c r="D163" i="6"/>
  <c r="E163" i="6" s="1"/>
  <c r="E28" i="6"/>
  <c r="D164" i="6"/>
  <c r="E164" i="6" s="1"/>
  <c r="D165" i="6"/>
  <c r="E165" i="6" s="1"/>
  <c r="A5" i="3"/>
  <c r="B5" i="3" s="1"/>
  <c r="Z5" i="3" s="1"/>
  <c r="N12" i="6"/>
  <c r="N14" i="6"/>
  <c r="I41" i="7" s="1"/>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D59" i="8"/>
  <c r="E59" i="8" s="1"/>
  <c r="D68" i="8"/>
  <c r="F68" i="8" s="1"/>
  <c r="I68" i="8" s="1"/>
  <c r="D61" i="8"/>
  <c r="F61" i="8" s="1"/>
  <c r="I61" i="8" s="1"/>
  <c r="D49" i="8"/>
  <c r="E49" i="8" s="1"/>
  <c r="D53" i="8"/>
  <c r="E53" i="8" s="1"/>
  <c r="M14" i="6"/>
  <c r="M12" i="6"/>
  <c r="D54" i="8"/>
  <c r="E54" i="8" s="1"/>
  <c r="H54" i="8" s="1"/>
  <c r="D65" i="8"/>
  <c r="E65" i="8" s="1"/>
  <c r="D66" i="8"/>
  <c r="E66" i="8" s="1"/>
  <c r="H66" i="8" s="1"/>
  <c r="D55" i="8"/>
  <c r="F55" i="8" s="1"/>
  <c r="I55" i="8" s="1"/>
  <c r="D64" i="8"/>
  <c r="E64" i="8" s="1"/>
  <c r="H64" i="8" s="1"/>
  <c r="D44" i="8"/>
  <c r="E44" i="8" s="1"/>
  <c r="D67" i="8"/>
  <c r="E67" i="8" s="1"/>
  <c r="H67" i="8" s="1"/>
  <c r="D58" i="8"/>
  <c r="F58" i="8" s="1"/>
  <c r="I58" i="8" s="1"/>
  <c r="D69" i="8"/>
  <c r="F69" i="8" s="1"/>
  <c r="I69" i="8" s="1"/>
  <c r="D57" i="8"/>
  <c r="E57" i="8" s="1"/>
  <c r="D46" i="8"/>
  <c r="F46" i="8" s="1"/>
  <c r="D62" i="8"/>
  <c r="F62" i="8" s="1"/>
  <c r="I62" i="8" s="1"/>
  <c r="D43" i="8"/>
  <c r="E43" i="8" s="1"/>
  <c r="D50" i="8"/>
  <c r="F50" i="8" s="1"/>
  <c r="D48" i="8"/>
  <c r="F48" i="8" s="1"/>
  <c r="D47" i="8"/>
  <c r="E47" i="8" s="1"/>
  <c r="D45" i="8"/>
  <c r="E45" i="8" s="1"/>
  <c r="D52" i="8"/>
  <c r="F52" i="8" s="1"/>
  <c r="I52" i="8" s="1"/>
  <c r="D63" i="8"/>
  <c r="E63" i="8" s="1"/>
  <c r="H63" i="8" s="1"/>
  <c r="D56" i="8"/>
  <c r="F56" i="8" s="1"/>
  <c r="I56" i="8" s="1"/>
  <c r="D60" i="8"/>
  <c r="E60" i="8" s="1"/>
  <c r="D51" i="8"/>
  <c r="E51" i="8" s="1"/>
  <c r="W166" i="4"/>
  <c r="X166" i="4"/>
  <c r="E127" i="6"/>
  <c r="D128" i="6"/>
  <c r="W110" i="4"/>
  <c r="U111" i="4"/>
  <c r="X126" i="4"/>
  <c r="W126" i="4"/>
  <c r="D123" i="4" s="1"/>
  <c r="D118" i="4"/>
  <c r="F118" i="4" s="1"/>
  <c r="D163" i="4"/>
  <c r="F163" i="4" s="1"/>
  <c r="W235" i="4"/>
  <c r="U236" i="4"/>
  <c r="W200" i="4"/>
  <c r="U201" i="4"/>
  <c r="X215" i="4"/>
  <c r="V216" i="4"/>
  <c r="V226" i="4"/>
  <c r="X225" i="4"/>
  <c r="X190" i="4"/>
  <c r="V191" i="4"/>
  <c r="I31" i="6"/>
  <c r="C154" i="6" s="1"/>
  <c r="E29" i="6"/>
  <c r="C191" i="6"/>
  <c r="D153" i="6"/>
  <c r="C192" i="6"/>
  <c r="C11" i="1" l="1"/>
  <c r="S4" i="3" s="1"/>
  <c r="T4" i="3" s="1"/>
  <c r="U4" i="3" s="1"/>
  <c r="P15" i="6"/>
  <c r="M15" i="6" s="1"/>
  <c r="J42" i="7" s="1"/>
  <c r="E35" i="6"/>
  <c r="O22" i="6" s="1"/>
  <c r="O19" i="6" s="1"/>
  <c r="H28" i="6" s="1"/>
  <c r="C190" i="6" s="1"/>
  <c r="M22" i="6"/>
  <c r="C164" i="6"/>
  <c r="C165" i="6"/>
  <c r="AC5" i="3"/>
  <c r="P5" i="3"/>
  <c r="Q5" i="3" s="1"/>
  <c r="A6" i="3"/>
  <c r="B6" i="3" s="1"/>
  <c r="AC6" i="3" s="1"/>
  <c r="I50" i="8"/>
  <c r="E50" i="8"/>
  <c r="E110" i="7"/>
  <c r="E48" i="8"/>
  <c r="C25" i="1"/>
  <c r="C32" i="1" s="1"/>
  <c r="K49" i="1" s="1"/>
  <c r="AA5" i="3"/>
  <c r="AD5" i="3"/>
  <c r="F66" i="8"/>
  <c r="I66" i="8" s="1"/>
  <c r="E55" i="8"/>
  <c r="H55" i="8" s="1"/>
  <c r="H65" i="8"/>
  <c r="F65" i="8"/>
  <c r="I65" i="8" s="1"/>
  <c r="F63" i="8"/>
  <c r="I63" i="8" s="1"/>
  <c r="H57" i="8"/>
  <c r="F57" i="8"/>
  <c r="I57" i="8" s="1"/>
  <c r="F64" i="8"/>
  <c r="I64" i="8" s="1"/>
  <c r="F44" i="8"/>
  <c r="I44" i="8" s="1"/>
  <c r="I46" i="8"/>
  <c r="H43" i="8"/>
  <c r="C204" i="6"/>
  <c r="H44" i="8"/>
  <c r="I48" i="8"/>
  <c r="H45" i="8"/>
  <c r="H53" i="8"/>
  <c r="F107" i="7"/>
  <c r="E58" i="7"/>
  <c r="H65" i="7" s="1"/>
  <c r="H60" i="8"/>
  <c r="F53" i="8"/>
  <c r="I53" i="8" s="1"/>
  <c r="H59" i="8"/>
  <c r="J41" i="7"/>
  <c r="E52" i="8"/>
  <c r="H52" i="8" s="1"/>
  <c r="F51" i="8"/>
  <c r="I51" i="8" s="1"/>
  <c r="F67" i="8"/>
  <c r="I67" i="8" s="1"/>
  <c r="E68" i="8"/>
  <c r="H68" i="8" s="1"/>
  <c r="F59" i="8"/>
  <c r="I59" i="8" s="1"/>
  <c r="F49" i="8"/>
  <c r="I49" i="8" s="1"/>
  <c r="E69" i="8"/>
  <c r="H69" i="8" s="1"/>
  <c r="F54" i="8"/>
  <c r="I54" i="8" s="1"/>
  <c r="Q194" i="4"/>
  <c r="O196" i="4"/>
  <c r="H49" i="8"/>
  <c r="C12" i="8"/>
  <c r="E46" i="8"/>
  <c r="H47" i="8"/>
  <c r="H51" i="8"/>
  <c r="F60" i="8"/>
  <c r="I60" i="8" s="1"/>
  <c r="F45" i="8"/>
  <c r="I45" i="8" s="1"/>
  <c r="F43" i="8"/>
  <c r="I43" i="8" s="1"/>
  <c r="E62" i="8"/>
  <c r="H62" i="8" s="1"/>
  <c r="E61" i="8"/>
  <c r="F47" i="8"/>
  <c r="I47" i="8" s="1"/>
  <c r="E56" i="8"/>
  <c r="H56" i="8" s="1"/>
  <c r="E58" i="8"/>
  <c r="V111" i="4"/>
  <c r="X110" i="4"/>
  <c r="E128" i="6"/>
  <c r="D129" i="6"/>
  <c r="X200" i="4"/>
  <c r="V201" i="4"/>
  <c r="W226" i="4"/>
  <c r="X226" i="4"/>
  <c r="X191" i="4"/>
  <c r="W191" i="4"/>
  <c r="W216" i="4"/>
  <c r="X216" i="4"/>
  <c r="V236" i="4"/>
  <c r="X235" i="4"/>
  <c r="C153" i="6"/>
  <c r="N15" i="6" l="1"/>
  <c r="I42" i="7" s="1"/>
  <c r="H42" i="7"/>
  <c r="E108" i="7"/>
  <c r="D23" i="7"/>
  <c r="M19" i="6"/>
  <c r="H31" i="6" s="1"/>
  <c r="H29" i="6" s="1"/>
  <c r="H47" i="7" s="1"/>
  <c r="AA6" i="3"/>
  <c r="H48" i="8"/>
  <c r="P29" i="1"/>
  <c r="A7" i="3"/>
  <c r="B7" i="3" s="1"/>
  <c r="P7" i="3" s="1"/>
  <c r="Q7" i="3" s="1"/>
  <c r="AD6" i="3"/>
  <c r="P6" i="3"/>
  <c r="Q6" i="3" s="1"/>
  <c r="H71" i="7"/>
  <c r="Z6" i="3"/>
  <c r="H68" i="7"/>
  <c r="H16" i="7"/>
  <c r="P28" i="1"/>
  <c r="H50" i="8"/>
  <c r="C149" i="6"/>
  <c r="H46" i="8"/>
  <c r="H46" i="7"/>
  <c r="D152" i="6"/>
  <c r="H13" i="7"/>
  <c r="H58" i="8"/>
  <c r="R194" i="4"/>
  <c r="P196" i="4"/>
  <c r="F108" i="7"/>
  <c r="D213" i="4"/>
  <c r="F213" i="4" s="1"/>
  <c r="B191" i="6"/>
  <c r="C194" i="6"/>
  <c r="H61" i="8"/>
  <c r="D223" i="4"/>
  <c r="F223" i="4" s="1"/>
  <c r="X111" i="4"/>
  <c r="W111" i="4"/>
  <c r="D108" i="4" s="1"/>
  <c r="D188" i="4"/>
  <c r="F188" i="4" s="1"/>
  <c r="D130" i="6"/>
  <c r="E130" i="6" s="1"/>
  <c r="E129" i="6"/>
  <c r="S28" i="6"/>
  <c r="C193" i="6"/>
  <c r="X236" i="4"/>
  <c r="W236" i="4"/>
  <c r="W201" i="4"/>
  <c r="X201" i="4"/>
  <c r="D198" i="4" s="1"/>
  <c r="D2" i="4"/>
  <c r="C155" i="6" l="1"/>
  <c r="I29" i="6"/>
  <c r="I47" i="7" s="1"/>
  <c r="C150" i="6"/>
  <c r="B192" i="6"/>
  <c r="B193" i="6"/>
  <c r="H32" i="6"/>
  <c r="I32" i="6"/>
  <c r="C157" i="6"/>
  <c r="C152" i="6"/>
  <c r="C151" i="6"/>
  <c r="G57" i="8"/>
  <c r="G65" i="8"/>
  <c r="G49" i="8"/>
  <c r="G59" i="8"/>
  <c r="G51" i="8"/>
  <c r="G64" i="8"/>
  <c r="G54" i="8"/>
  <c r="G63" i="8"/>
  <c r="G44" i="8"/>
  <c r="G45" i="8"/>
  <c r="G53" i="8"/>
  <c r="G43" i="8"/>
  <c r="G60" i="8"/>
  <c r="G47" i="8"/>
  <c r="G66" i="8"/>
  <c r="G67" i="8"/>
  <c r="G48" i="8"/>
  <c r="K48" i="8" s="1"/>
  <c r="M48" i="8" s="1"/>
  <c r="G52" i="8"/>
  <c r="J52" i="8" s="1"/>
  <c r="G68" i="8"/>
  <c r="J68" i="8" s="1"/>
  <c r="G56" i="8"/>
  <c r="J56" i="8" s="1"/>
  <c r="G50" i="8"/>
  <c r="K50" i="8" s="1"/>
  <c r="G61" i="8"/>
  <c r="K61" i="8" s="1"/>
  <c r="M61" i="8" s="1"/>
  <c r="G46" i="8"/>
  <c r="K46" i="8" s="1"/>
  <c r="M46" i="8" s="1"/>
  <c r="G62" i="8"/>
  <c r="J62" i="8" s="1"/>
  <c r="G58" i="8"/>
  <c r="K58" i="8" s="1"/>
  <c r="M58" i="8" s="1"/>
  <c r="G69" i="8"/>
  <c r="J69" i="8" s="1"/>
  <c r="G55" i="8"/>
  <c r="K55" i="8" s="1"/>
  <c r="M55" i="8" s="1"/>
  <c r="F198" i="4"/>
  <c r="A8" i="3"/>
  <c r="B8" i="3" s="1"/>
  <c r="Z8" i="3" s="1"/>
  <c r="Z7" i="3"/>
  <c r="AD7" i="3"/>
  <c r="AA7" i="3"/>
  <c r="AC7" i="3"/>
  <c r="H14" i="7"/>
  <c r="B194" i="6"/>
  <c r="H30" i="6"/>
  <c r="H48" i="7" s="1"/>
  <c r="B190" i="6"/>
  <c r="S194" i="4"/>
  <c r="Q196" i="4"/>
  <c r="F108" i="4"/>
  <c r="D233" i="4"/>
  <c r="F233" i="4" s="1"/>
  <c r="F2" i="4"/>
  <c r="S29" i="6" l="1"/>
  <c r="I30" i="6"/>
  <c r="I48" i="7" s="1"/>
  <c r="I14" i="7"/>
  <c r="C156" i="6"/>
  <c r="J58" i="8"/>
  <c r="L58" i="8" s="1"/>
  <c r="J61" i="8"/>
  <c r="L61" i="8" s="1"/>
  <c r="J46" i="8"/>
  <c r="L46" i="8" s="1"/>
  <c r="J50" i="8"/>
  <c r="L50" i="8" s="1"/>
  <c r="K62" i="8"/>
  <c r="M62" i="8" s="1"/>
  <c r="K69" i="8"/>
  <c r="M69" i="8" s="1"/>
  <c r="J55" i="8"/>
  <c r="L55" i="8" s="1"/>
  <c r="R5" i="3"/>
  <c r="S5" i="3" s="1"/>
  <c r="T5" i="3" s="1"/>
  <c r="R6" i="3"/>
  <c r="R7" i="3"/>
  <c r="K67" i="8"/>
  <c r="M67" i="8" s="1"/>
  <c r="J67" i="8"/>
  <c r="K43" i="8"/>
  <c r="M43" i="8" s="1"/>
  <c r="J43" i="8"/>
  <c r="J48" i="8"/>
  <c r="L48" i="8" s="1"/>
  <c r="J44" i="8"/>
  <c r="K44" i="8"/>
  <c r="M44" i="8" s="1"/>
  <c r="K54" i="8"/>
  <c r="M54" i="8" s="1"/>
  <c r="J54" i="8"/>
  <c r="K51" i="8"/>
  <c r="M51" i="8" s="1"/>
  <c r="J51" i="8"/>
  <c r="K65" i="8"/>
  <c r="M65" i="8" s="1"/>
  <c r="J65" i="8"/>
  <c r="K66" i="8"/>
  <c r="M66" i="8" s="1"/>
  <c r="J66" i="8"/>
  <c r="J47" i="8"/>
  <c r="K47" i="8"/>
  <c r="M47" i="8" s="1"/>
  <c r="J60" i="8"/>
  <c r="K60" i="8"/>
  <c r="M60" i="8" s="1"/>
  <c r="J53" i="8"/>
  <c r="K53" i="8"/>
  <c r="M53" i="8" s="1"/>
  <c r="K56" i="8"/>
  <c r="M56" i="8" s="1"/>
  <c r="J45" i="8"/>
  <c r="K45" i="8"/>
  <c r="M45" i="8" s="1"/>
  <c r="J63" i="8"/>
  <c r="K63" i="8"/>
  <c r="M63" i="8" s="1"/>
  <c r="K52" i="8"/>
  <c r="M52" i="8" s="1"/>
  <c r="J64" i="8"/>
  <c r="K64" i="8"/>
  <c r="M64" i="8" s="1"/>
  <c r="K68" i="8"/>
  <c r="M68" i="8" s="1"/>
  <c r="J59" i="8"/>
  <c r="K59" i="8"/>
  <c r="K49" i="8"/>
  <c r="M49" i="8" s="1"/>
  <c r="J49" i="8"/>
  <c r="J57" i="8"/>
  <c r="K57" i="8"/>
  <c r="M57" i="8" s="1"/>
  <c r="AC8" i="3"/>
  <c r="A9" i="3"/>
  <c r="B9" i="3" s="1"/>
  <c r="P9" i="3" s="1"/>
  <c r="Q9" i="3" s="1"/>
  <c r="R9" i="3" s="1"/>
  <c r="P8" i="3"/>
  <c r="Q8" i="3" s="1"/>
  <c r="R8" i="3" s="1"/>
  <c r="AD8" i="3"/>
  <c r="AA8" i="3"/>
  <c r="M50" i="8"/>
  <c r="H15" i="7"/>
  <c r="R196" i="4"/>
  <c r="T194" i="4"/>
  <c r="S30" i="6" l="1"/>
  <c r="H33" i="6"/>
  <c r="I15" i="7"/>
  <c r="L49" i="8"/>
  <c r="L65" i="8"/>
  <c r="L67" i="8"/>
  <c r="L51" i="8"/>
  <c r="S6" i="3"/>
  <c r="T6" i="3" s="1"/>
  <c r="L66" i="8"/>
  <c r="L43" i="8"/>
  <c r="L56" i="8"/>
  <c r="L68" i="8"/>
  <c r="L69" i="8"/>
  <c r="L62" i="8"/>
  <c r="L52" i="8"/>
  <c r="L54" i="8"/>
  <c r="L44" i="8"/>
  <c r="L57" i="8"/>
  <c r="L63" i="8"/>
  <c r="L45" i="8"/>
  <c r="L53" i="8"/>
  <c r="L60" i="8"/>
  <c r="L47" i="8"/>
  <c r="L59" i="8"/>
  <c r="M59" i="8"/>
  <c r="L64" i="8"/>
  <c r="AG5" i="3"/>
  <c r="AH5" i="3"/>
  <c r="D5" i="3"/>
  <c r="E5" i="3"/>
  <c r="H5" i="3" s="1"/>
  <c r="K5" i="3" s="1"/>
  <c r="AC9" i="3"/>
  <c r="AA9" i="3"/>
  <c r="AD9" i="3"/>
  <c r="Z9" i="3"/>
  <c r="A10" i="3"/>
  <c r="B10" i="3" s="1"/>
  <c r="A11" i="3" s="1"/>
  <c r="B11" i="3" s="1"/>
  <c r="AC11" i="3" s="1"/>
  <c r="U194" i="4"/>
  <c r="S196" i="4"/>
  <c r="S7" i="3" l="1"/>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E6" i="3"/>
  <c r="H6" i="3" s="1"/>
  <c r="K6" i="3" s="1"/>
  <c r="L6" i="3" s="1"/>
  <c r="D193" i="4"/>
  <c r="AA15" i="3"/>
  <c r="P15" i="3"/>
  <c r="Q15" i="3" s="1"/>
  <c r="R15" i="3" s="1"/>
  <c r="AC15" i="3"/>
  <c r="Z15" i="3"/>
  <c r="AD15" i="3"/>
  <c r="A16" i="3"/>
  <c r="B16" i="3" s="1"/>
  <c r="M6" i="3" l="1"/>
  <c r="N6" i="3" s="1"/>
  <c r="S11" i="3"/>
  <c r="T11" i="3" s="1"/>
  <c r="V6" i="3"/>
  <c r="AE6" i="3"/>
  <c r="F6" i="3"/>
  <c r="I6" i="3"/>
  <c r="F193" i="4"/>
  <c r="AA16" i="3"/>
  <c r="AD16" i="3"/>
  <c r="AC16" i="3"/>
  <c r="P16" i="3"/>
  <c r="Q16" i="3" s="1"/>
  <c r="R16" i="3" s="1"/>
  <c r="Z16" i="3"/>
  <c r="A17" i="3"/>
  <c r="B17" i="3" s="1"/>
  <c r="Y5" i="3"/>
  <c r="U6" i="3" l="1"/>
  <c r="N36" i="1"/>
  <c r="M37" i="6"/>
  <c r="S12" i="3"/>
  <c r="S13" i="3" s="1"/>
  <c r="W6" i="3"/>
  <c r="P17" i="3"/>
  <c r="Q17" i="3" s="1"/>
  <c r="R17" i="3" s="1"/>
  <c r="A18" i="3"/>
  <c r="B18" i="3" s="1"/>
  <c r="AC17" i="3"/>
  <c r="Z17" i="3"/>
  <c r="AD17" i="3"/>
  <c r="AA17" i="3"/>
  <c r="E7" i="3" l="1"/>
  <c r="H7" i="3" s="1"/>
  <c r="K7" i="3" s="1"/>
  <c r="T12" i="3"/>
  <c r="AH7" i="3"/>
  <c r="AG7" i="3"/>
  <c r="D7" i="3"/>
  <c r="G7" i="3" s="1"/>
  <c r="S14" i="3"/>
  <c r="T13" i="3"/>
  <c r="AA18" i="3"/>
  <c r="P18" i="3"/>
  <c r="Q18" i="3" s="1"/>
  <c r="R18" i="3" s="1"/>
  <c r="AC18" i="3"/>
  <c r="A19" i="3"/>
  <c r="B19" i="3" s="1"/>
  <c r="AD18" i="3"/>
  <c r="Z18" i="3"/>
  <c r="M7" i="3" l="1"/>
  <c r="N7" i="3" s="1"/>
  <c r="J7" i="3"/>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AD34" i="3" s="1"/>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AD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AD84" i="3" s="1"/>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D112" i="3" l="1"/>
  <c r="AA112" i="3"/>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AD122" i="3"/>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AD132" i="3" l="1"/>
  <c r="P132" i="3"/>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AD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AD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D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M172" i="3"/>
  <c r="N172" i="3" s="1"/>
  <c r="L172" i="3" l="1"/>
  <c r="U172" i="3" l="1"/>
  <c r="E173" i="3" s="1"/>
  <c r="H173" i="3" s="1"/>
  <c r="AH173" i="3"/>
  <c r="AG173" i="3"/>
  <c r="Y171" i="3"/>
  <c r="D173" i="3" l="1"/>
  <c r="G173" i="3" s="1"/>
  <c r="K173" i="3"/>
  <c r="A174" i="3" s="1"/>
  <c r="B174" i="3" s="1"/>
  <c r="AD174" i="3" l="1"/>
  <c r="P174" i="3"/>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AD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M182" i="3"/>
  <c r="N182" i="3" s="1"/>
  <c r="L182" i="3" l="1"/>
  <c r="U182" i="3" l="1"/>
  <c r="E183" i="3" s="1"/>
  <c r="H183" i="3" s="1"/>
  <c r="AH183" i="3"/>
  <c r="AG183" i="3"/>
  <c r="Y181" i="3"/>
  <c r="D183" i="3" l="1"/>
  <c r="G183" i="3" s="1"/>
  <c r="K183" i="3"/>
  <c r="A184" i="3" s="1"/>
  <c r="B184" i="3" s="1"/>
  <c r="Z184" i="3" l="1"/>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AD184" i="3" s="1"/>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D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AD194" i="3" l="1"/>
  <c r="P194" i="3"/>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AD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AD212" i="3" s="1"/>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T217" i="3" l="1"/>
  <c r="D217" i="3" s="1"/>
  <c r="G217" i="3" l="1"/>
  <c r="AG217" i="3"/>
  <c r="AH217" i="3"/>
  <c r="E217" i="3"/>
  <c r="H217" i="3" s="1"/>
  <c r="I217" i="3" l="1"/>
  <c r="J217" i="3"/>
  <c r="AD217" i="3" s="1"/>
  <c r="M217" i="3"/>
  <c r="N217" i="3" s="1"/>
  <c r="K217" i="3"/>
  <c r="AE217" i="3" s="1"/>
  <c r="F217" i="3"/>
  <c r="V217" i="3" l="1"/>
  <c r="W217" i="3" s="1"/>
  <c r="A218" i="3"/>
  <c r="B218" i="3" s="1"/>
  <c r="L217" i="3"/>
  <c r="U217" i="3" l="1"/>
  <c r="Y216" i="3"/>
  <c r="AC218" i="3"/>
  <c r="AA218" i="3"/>
  <c r="Z218" i="3"/>
  <c r="P218" i="3"/>
  <c r="Q218" i="3" s="1"/>
  <c r="R218" i="3" s="1"/>
  <c r="S218" i="3" s="1"/>
  <c r="T218" i="3" l="1"/>
  <c r="AG218" i="3" s="1"/>
  <c r="AH218" i="3" l="1"/>
  <c r="E218" i="3"/>
  <c r="H218" i="3" s="1"/>
  <c r="K218" i="3" s="1"/>
  <c r="AE218" i="3" s="1"/>
  <c r="D218" i="3"/>
  <c r="G218" i="3" s="1"/>
  <c r="F218" i="3" l="1"/>
  <c r="I218" i="3"/>
  <c r="J218" i="3"/>
  <c r="AD218" i="3" s="1"/>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U221" i="3"/>
  <c r="Y220" i="3"/>
  <c r="T222" i="3" l="1"/>
  <c r="AH222" i="3" s="1"/>
  <c r="E222" i="3" l="1"/>
  <c r="H222" i="3" s="1"/>
  <c r="AG222" i="3"/>
  <c r="D222" i="3"/>
  <c r="F222" i="3" l="1"/>
  <c r="G222" i="3"/>
  <c r="K222" i="3"/>
  <c r="AE222" i="3" s="1"/>
  <c r="I222" i="3" l="1"/>
  <c r="J222" i="3"/>
  <c r="AD222" i="3" s="1"/>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Z225" i="3"/>
  <c r="U224" i="3" l="1"/>
  <c r="Y223" i="3"/>
  <c r="T225" i="3"/>
  <c r="AG225" i="3" s="1"/>
  <c r="AH225" i="3" l="1"/>
  <c r="E225" i="3"/>
  <c r="H225" i="3" s="1"/>
  <c r="D225" i="3"/>
  <c r="K225" i="3" l="1"/>
  <c r="AE225" i="3" s="1"/>
  <c r="F225" i="3"/>
  <c r="G225" i="3"/>
  <c r="I225" i="3" l="1"/>
  <c r="J225" i="3"/>
  <c r="AD225" i="3" s="1"/>
  <c r="M225" i="3"/>
  <c r="N225" i="3" s="1"/>
  <c r="V225" i="3"/>
  <c r="A226" i="3"/>
  <c r="B226" i="3" s="1"/>
  <c r="W225" i="3" l="1"/>
  <c r="L225" i="3"/>
  <c r="Z226" i="3"/>
  <c r="AA226" i="3"/>
  <c r="P226" i="3"/>
  <c r="Q226" i="3" s="1"/>
  <c r="R226" i="3" s="1"/>
  <c r="S226" i="3" s="1"/>
  <c r="AC226" i="3"/>
  <c r="U225" i="3" l="1"/>
  <c r="Y224" i="3"/>
  <c r="T226" i="3"/>
  <c r="D226" i="3" l="1"/>
  <c r="G226" i="3" s="1"/>
  <c r="AH226" i="3"/>
  <c r="AG226" i="3"/>
  <c r="E226" i="3"/>
  <c r="H226" i="3" s="1"/>
  <c r="F226" i="3" l="1"/>
  <c r="I226" i="3"/>
  <c r="J226" i="3"/>
  <c r="AD226" i="3" s="1"/>
  <c r="M226" i="3"/>
  <c r="N226" i="3" s="1"/>
  <c r="K226" i="3"/>
  <c r="AE226" i="3" s="1"/>
  <c r="V226" i="3" l="1"/>
  <c r="W226" i="3" s="1"/>
  <c r="A227" i="3"/>
  <c r="B227" i="3" s="1"/>
  <c r="L226" i="3"/>
  <c r="U226" i="3" l="1"/>
  <c r="Y225" i="3"/>
  <c r="P227" i="3"/>
  <c r="Q227" i="3" s="1"/>
  <c r="R227" i="3" s="1"/>
  <c r="S227" i="3" s="1"/>
  <c r="AA227" i="3"/>
  <c r="Z227" i="3"/>
  <c r="AC227" i="3"/>
  <c r="T227" i="3" l="1"/>
  <c r="D227" i="3" s="1"/>
  <c r="E227" i="3" l="1"/>
  <c r="H227" i="3" s="1"/>
  <c r="K227" i="3" s="1"/>
  <c r="AE227" i="3" s="1"/>
  <c r="AH227" i="3"/>
  <c r="AG227" i="3"/>
  <c r="G227" i="3"/>
  <c r="F227" i="3" l="1"/>
  <c r="V227" i="3"/>
  <c r="A228" i="3"/>
  <c r="B228" i="3" s="1"/>
  <c r="I227" i="3"/>
  <c r="J227" i="3"/>
  <c r="AD227" i="3" s="1"/>
  <c r="M227" i="3"/>
  <c r="N227" i="3" s="1"/>
  <c r="L227" i="3" l="1"/>
  <c r="W227"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AD228" i="3" s="1"/>
  <c r="M228" i="3"/>
  <c r="N228" i="3" s="1"/>
  <c r="W228" i="3" l="1"/>
  <c r="L228" i="3"/>
  <c r="AA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AD229" i="3" s="1"/>
  <c r="M229" i="3"/>
  <c r="N229" i="3" s="1"/>
  <c r="L229" i="3" l="1"/>
  <c r="W229" i="3"/>
  <c r="P230" i="3"/>
  <c r="Q230" i="3" s="1"/>
  <c r="R230" i="3" s="1"/>
  <c r="S230" i="3" s="1"/>
  <c r="AA230" i="3"/>
  <c r="AC230" i="3"/>
  <c r="Z230" i="3"/>
  <c r="U229" i="3" l="1"/>
  <c r="Y228" i="3"/>
  <c r="T230" i="3"/>
  <c r="AH230" i="3" s="1"/>
  <c r="AG230" i="3" l="1"/>
  <c r="D230" i="3"/>
  <c r="E230" i="3"/>
  <c r="H230" i="3" s="1"/>
  <c r="K230" i="3" l="1"/>
  <c r="AE230" i="3" s="1"/>
  <c r="F230" i="3"/>
  <c r="G230" i="3"/>
  <c r="I230" i="3" l="1"/>
  <c r="J230" i="3"/>
  <c r="AD230" i="3" s="1"/>
  <c r="M230" i="3"/>
  <c r="N230" i="3" s="1"/>
  <c r="V230" i="3"/>
  <c r="A231" i="3"/>
  <c r="B231" i="3" s="1"/>
  <c r="W230" i="3" l="1"/>
  <c r="L230"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AD231" i="3" s="1"/>
  <c r="M231" i="3"/>
  <c r="N231" i="3" s="1"/>
  <c r="L231" i="3" l="1"/>
  <c r="W231" i="3"/>
  <c r="P232" i="3"/>
  <c r="Q232" i="3" s="1"/>
  <c r="R232" i="3" s="1"/>
  <c r="S232" i="3" s="1"/>
  <c r="Z232" i="3"/>
  <c r="AA232" i="3"/>
  <c r="AC232" i="3"/>
  <c r="U231" i="3" l="1"/>
  <c r="Y230" i="3"/>
  <c r="T232" i="3"/>
  <c r="D232" i="3" l="1"/>
  <c r="G232" i="3" s="1"/>
  <c r="AG232" i="3"/>
  <c r="E232" i="3"/>
  <c r="H232" i="3" s="1"/>
  <c r="AH232" i="3"/>
  <c r="F232" i="3" l="1"/>
  <c r="I232" i="3"/>
  <c r="J232" i="3"/>
  <c r="AD232" i="3" s="1"/>
  <c r="M232" i="3"/>
  <c r="N232" i="3" s="1"/>
  <c r="K232" i="3"/>
  <c r="AE232" i="3" s="1"/>
  <c r="V232" i="3" l="1"/>
  <c r="W232" i="3" s="1"/>
  <c r="A233" i="3"/>
  <c r="B233" i="3" s="1"/>
  <c r="L232" i="3"/>
  <c r="U232" i="3" l="1"/>
  <c r="Y231" i="3"/>
  <c r="AA233" i="3"/>
  <c r="AC233" i="3"/>
  <c r="P233" i="3"/>
  <c r="Q233" i="3" s="1"/>
  <c r="R233" i="3" s="1"/>
  <c r="S233" i="3" s="1"/>
  <c r="Z233" i="3"/>
  <c r="T233" i="3" l="1"/>
  <c r="D233" i="3" s="1"/>
  <c r="AG233" i="3" l="1"/>
  <c r="AH233" i="3"/>
  <c r="E233" i="3"/>
  <c r="H233" i="3" s="1"/>
  <c r="K233" i="3" s="1"/>
  <c r="AE233" i="3" s="1"/>
  <c r="G233" i="3"/>
  <c r="F233" i="3" l="1"/>
  <c r="I233" i="3"/>
  <c r="J233" i="3"/>
  <c r="AD233" i="3" s="1"/>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P238" i="3"/>
  <c r="Q238" i="3" s="1"/>
  <c r="R238" i="3" s="1"/>
  <c r="S238" i="3" s="1"/>
  <c r="Z238" i="3"/>
  <c r="AC238" i="3"/>
  <c r="AA238" i="3"/>
  <c r="L237" i="3" l="1"/>
  <c r="U237" i="3" s="1"/>
  <c r="AD237" i="3"/>
  <c r="T238" i="3"/>
  <c r="Y236" i="3" l="1"/>
  <c r="AG238" i="3"/>
  <c r="AH238" i="3"/>
  <c r="E238" i="3"/>
  <c r="H238" i="3" s="1"/>
  <c r="K238" i="3" s="1"/>
  <c r="AE238" i="3" s="1"/>
  <c r="D238" i="3"/>
  <c r="F238" i="3" l="1"/>
  <c r="G238" i="3"/>
  <c r="M238" i="3" s="1"/>
  <c r="N238" i="3" s="1"/>
  <c r="V238" i="3"/>
  <c r="A239" i="3"/>
  <c r="B239" i="3" s="1"/>
  <c r="I238" i="3" l="1"/>
  <c r="W238" i="3" s="1"/>
  <c r="J238" i="3"/>
  <c r="AD239" i="3"/>
  <c r="P239" i="3"/>
  <c r="Q239" i="3" s="1"/>
  <c r="R239" i="3" s="1"/>
  <c r="S239" i="3" s="1"/>
  <c r="AC239" i="3"/>
  <c r="Z239" i="3"/>
  <c r="AA239" i="3"/>
  <c r="L238" i="3" l="1"/>
  <c r="U238" i="3" s="1"/>
  <c r="AD238" i="3"/>
  <c r="T239" i="3"/>
  <c r="Y237" i="3" l="1"/>
  <c r="D239" i="3"/>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C242" i="3"/>
  <c r="T242" i="3" l="1"/>
  <c r="D242" i="3" s="1"/>
  <c r="E242" i="3" l="1"/>
  <c r="H242" i="3" s="1"/>
  <c r="K242" i="3" s="1"/>
  <c r="AE242" i="3" s="1"/>
  <c r="G242" i="3"/>
  <c r="AH242" i="3"/>
  <c r="AG242" i="3"/>
  <c r="F242" i="3" l="1"/>
  <c r="I242" i="3"/>
  <c r="J242" i="3"/>
  <c r="AD242" i="3" s="1"/>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U246" i="3" l="1"/>
  <c r="Y245" i="3"/>
  <c r="T247" i="3"/>
  <c r="AG247" i="3" s="1"/>
  <c r="AH247" i="3" l="1"/>
  <c r="D247" i="3"/>
  <c r="E247" i="3"/>
  <c r="H247" i="3" s="1"/>
  <c r="K247" i="3" s="1"/>
  <c r="AE247" i="3" s="1"/>
  <c r="F247" i="3" l="1"/>
  <c r="G247" i="3"/>
  <c r="M247" i="3" s="1"/>
  <c r="N247" i="3" s="1"/>
  <c r="V247" i="3"/>
  <c r="A248" i="3"/>
  <c r="B248" i="3" s="1"/>
  <c r="I247" i="3" l="1"/>
  <c r="W247" i="3" s="1"/>
  <c r="J247" i="3"/>
  <c r="Z248" i="3"/>
  <c r="P248" i="3"/>
  <c r="Q248" i="3" s="1"/>
  <c r="R248" i="3" s="1"/>
  <c r="S248" i="3" s="1"/>
  <c r="AA248" i="3"/>
  <c r="AC248" i="3"/>
  <c r="L247" i="3" l="1"/>
  <c r="U247" i="3" s="1"/>
  <c r="AD247" i="3"/>
  <c r="T248" i="3"/>
  <c r="AG248" i="3" l="1"/>
  <c r="Y246" i="3"/>
  <c r="E248" i="3"/>
  <c r="H248" i="3" s="1"/>
  <c r="K248" i="3" s="1"/>
  <c r="AE248" i="3" s="1"/>
  <c r="AH248" i="3"/>
  <c r="D248" i="3"/>
  <c r="G248" i="3" s="1"/>
  <c r="F248" i="3" l="1"/>
  <c r="I248" i="3"/>
  <c r="J248" i="3"/>
  <c r="AD248" i="3" s="1"/>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AD252" i="3" s="1"/>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AD257" i="3" s="1"/>
  <c r="M257" i="3"/>
  <c r="N257" i="3" s="1"/>
  <c r="W257" i="3" l="1"/>
  <c r="L257" i="3"/>
  <c r="AC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AD258" i="3" s="1"/>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AD262" i="3" s="1"/>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T267" i="3" l="1"/>
  <c r="L266" i="3"/>
  <c r="AH267" i="3" l="1"/>
  <c r="AG267" i="3"/>
  <c r="U266" i="3"/>
  <c r="E267" i="3" s="1"/>
  <c r="H267" i="3" s="1"/>
  <c r="Y265" i="3"/>
  <c r="K267" i="3" l="1"/>
  <c r="AE267" i="3" s="1"/>
  <c r="D267" i="3"/>
  <c r="V267" i="3" l="1"/>
  <c r="A268" i="3"/>
  <c r="B268" i="3" s="1"/>
  <c r="F267" i="3"/>
  <c r="G267" i="3"/>
  <c r="I267" i="3" l="1"/>
  <c r="W267" i="3" s="1"/>
  <c r="J267" i="3"/>
  <c r="AD267" i="3" s="1"/>
  <c r="M267" i="3"/>
  <c r="N267" i="3" s="1"/>
  <c r="AC268" i="3"/>
  <c r="P268" i="3"/>
  <c r="Q268" i="3" s="1"/>
  <c r="R268" i="3" s="1"/>
  <c r="S268" i="3" s="1"/>
  <c r="Z268" i="3"/>
  <c r="AA268" i="3"/>
  <c r="T268" i="3" l="1"/>
  <c r="L267" i="3"/>
  <c r="U267" i="3" l="1"/>
  <c r="E268" i="3" s="1"/>
  <c r="H268" i="3" s="1"/>
  <c r="AH268" i="3"/>
  <c r="AG268" i="3"/>
  <c r="Y266" i="3"/>
  <c r="K268" i="3" l="1"/>
  <c r="AE268" i="3" s="1"/>
  <c r="D268" i="3"/>
  <c r="V268" i="3" l="1"/>
  <c r="A269" i="3"/>
  <c r="B269" i="3" s="1"/>
  <c r="F268" i="3"/>
  <c r="G268" i="3"/>
  <c r="I268" i="3" l="1"/>
  <c r="W268" i="3" s="1"/>
  <c r="J268" i="3"/>
  <c r="AD268" i="3" s="1"/>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Z272" i="3"/>
  <c r="AA272" i="3"/>
  <c r="P272" i="3"/>
  <c r="Q272" i="3" s="1"/>
  <c r="R272" i="3" s="1"/>
  <c r="S272" i="3" s="1"/>
  <c r="AC272" i="3"/>
  <c r="T272" i="3" l="1"/>
  <c r="U271" i="3"/>
  <c r="Y270" i="3"/>
  <c r="D272" i="3" l="1"/>
  <c r="G272" i="3" s="1"/>
  <c r="E272" i="3"/>
  <c r="H272" i="3" s="1"/>
  <c r="K272" i="3" s="1"/>
  <c r="AE272" i="3" s="1"/>
  <c r="AG272" i="3"/>
  <c r="AH272" i="3"/>
  <c r="F272" i="3" l="1"/>
  <c r="I272" i="3"/>
  <c r="J272" i="3"/>
  <c r="AD272" i="3" s="1"/>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A277" i="3"/>
  <c r="U276" i="3" l="1"/>
  <c r="Y275" i="3"/>
  <c r="T277" i="3"/>
  <c r="AG277" i="3" s="1"/>
  <c r="D277" i="3" l="1"/>
  <c r="G277" i="3" s="1"/>
  <c r="E277" i="3"/>
  <c r="H277" i="3" s="1"/>
  <c r="K277" i="3" s="1"/>
  <c r="AE277" i="3" s="1"/>
  <c r="AH277" i="3"/>
  <c r="F277" i="3" l="1"/>
  <c r="V277" i="3"/>
  <c r="A278" i="3"/>
  <c r="B278" i="3" s="1"/>
  <c r="I277" i="3"/>
  <c r="J277" i="3"/>
  <c r="AD277" i="3" s="1"/>
  <c r="M277" i="3"/>
  <c r="N277" i="3" s="1"/>
  <c r="W277" i="3" l="1"/>
  <c r="L277"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AD278" i="3" s="1"/>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P282" i="3"/>
  <c r="Q282" i="3" s="1"/>
  <c r="R282" i="3" s="1"/>
  <c r="S282" i="3" s="1"/>
  <c r="AA282" i="3"/>
  <c r="U281" i="3" l="1"/>
  <c r="Y280" i="3"/>
  <c r="T282" i="3"/>
  <c r="D282" i="3" l="1"/>
  <c r="G282" i="3" s="1"/>
  <c r="E282" i="3"/>
  <c r="H282" i="3" s="1"/>
  <c r="AH282" i="3"/>
  <c r="AG282" i="3"/>
  <c r="F282" i="3" l="1"/>
  <c r="I282" i="3"/>
  <c r="J282" i="3"/>
  <c r="AD282" i="3" s="1"/>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C287" i="3"/>
  <c r="T287" i="3" l="1"/>
  <c r="D287" i="3" s="1"/>
  <c r="G287" i="3" l="1"/>
  <c r="AH287" i="3"/>
  <c r="AG287" i="3"/>
  <c r="E287" i="3"/>
  <c r="H287" i="3" s="1"/>
  <c r="F287" i="3" l="1"/>
  <c r="K287" i="3"/>
  <c r="AE287" i="3" s="1"/>
  <c r="I287" i="3"/>
  <c r="J287" i="3"/>
  <c r="AD287" i="3" s="1"/>
  <c r="M287" i="3"/>
  <c r="N287" i="3" s="1"/>
  <c r="L287" i="3" l="1"/>
  <c r="V287" i="3"/>
  <c r="W287" i="3" s="1"/>
  <c r="A288" i="3"/>
  <c r="B288" i="3" s="1"/>
  <c r="U287" i="3" l="1"/>
  <c r="Y286" i="3"/>
  <c r="P288" i="3"/>
  <c r="Q288" i="3" s="1"/>
  <c r="R288" i="3" s="1"/>
  <c r="S288" i="3" s="1"/>
  <c r="AA288" i="3"/>
  <c r="AC288" i="3"/>
  <c r="Z288" i="3"/>
  <c r="T288" i="3" l="1"/>
  <c r="D288" i="3" s="1"/>
  <c r="AG288" i="3" l="1"/>
  <c r="AH288" i="3"/>
  <c r="E288" i="3"/>
  <c r="H288" i="3" s="1"/>
  <c r="K288" i="3" s="1"/>
  <c r="AE288" i="3" s="1"/>
  <c r="G288" i="3"/>
  <c r="F288" i="3" l="1"/>
  <c r="I288" i="3"/>
  <c r="J288" i="3"/>
  <c r="AD288" i="3" s="1"/>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AD292" i="3" s="1"/>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T297" i="3" l="1"/>
  <c r="E297" i="3" s="1"/>
  <c r="H297" i="3" s="1"/>
  <c r="D297" i="3" l="1"/>
  <c r="F297" i="3" s="1"/>
  <c r="AG297" i="3"/>
  <c r="K297" i="3"/>
  <c r="AE297" i="3" s="1"/>
  <c r="AH297" i="3"/>
  <c r="G297" i="3" l="1"/>
  <c r="M297" i="3" s="1"/>
  <c r="N297" i="3" s="1"/>
  <c r="V297" i="3"/>
  <c r="A298" i="3"/>
  <c r="B298" i="3" s="1"/>
  <c r="J297" i="3" l="1"/>
  <c r="I297" i="3"/>
  <c r="W297" i="3" s="1"/>
  <c r="Z298" i="3"/>
  <c r="P298" i="3"/>
  <c r="Q298" i="3" s="1"/>
  <c r="R298" i="3" s="1"/>
  <c r="S298" i="3" s="1"/>
  <c r="AA298" i="3"/>
  <c r="AC298" i="3"/>
  <c r="L297" i="3" l="1"/>
  <c r="U297" i="3" s="1"/>
  <c r="AD297" i="3"/>
  <c r="T298" i="3"/>
  <c r="Y296" i="3" l="1"/>
  <c r="E298" i="3"/>
  <c r="H298" i="3" s="1"/>
  <c r="K298" i="3" s="1"/>
  <c r="AE298" i="3" s="1"/>
  <c r="AH298" i="3"/>
  <c r="D298" i="3"/>
  <c r="AG298" i="3"/>
  <c r="F298" i="3" l="1"/>
  <c r="G298" i="3"/>
  <c r="V298" i="3"/>
  <c r="A299" i="3"/>
  <c r="B299" i="3" s="1"/>
  <c r="I298" i="3" l="1"/>
  <c r="W298" i="3" s="1"/>
  <c r="J298" i="3"/>
  <c r="AD298" i="3" s="1"/>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AD303" i="3"/>
  <c r="Z303" i="3"/>
  <c r="P303" i="3"/>
  <c r="Q303" i="3" s="1"/>
  <c r="R303" i="3" s="1"/>
  <c r="S303" i="3" s="1"/>
  <c r="AA303" i="3"/>
  <c r="AC303" i="3"/>
  <c r="L302" i="3" l="1"/>
  <c r="Y301" i="3" s="1"/>
  <c r="AD302" i="3"/>
  <c r="T303" i="3"/>
  <c r="U302" i="3" l="1"/>
  <c r="E303" i="3" s="1"/>
  <c r="H303" i="3" s="1"/>
  <c r="K303" i="3" s="1"/>
  <c r="AE303" i="3" s="1"/>
  <c r="AH303" i="3"/>
  <c r="AG303" i="3"/>
  <c r="D303" i="3" l="1"/>
  <c r="G303" i="3" s="1"/>
  <c r="I303" i="3" s="1"/>
  <c r="V303" i="3"/>
  <c r="A304" i="3"/>
  <c r="B304" i="3" s="1"/>
  <c r="M303" i="3" l="1"/>
  <c r="N303" i="3" s="1"/>
  <c r="J303" i="3"/>
  <c r="L303" i="3" s="1"/>
  <c r="F303" i="3"/>
  <c r="W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T307" i="3" l="1"/>
  <c r="AH307" i="3" s="1"/>
  <c r="U306" i="3"/>
  <c r="Y305" i="3"/>
  <c r="D307" i="3" l="1"/>
  <c r="E307" i="3"/>
  <c r="H307" i="3" s="1"/>
  <c r="AG307" i="3"/>
  <c r="F307" i="3" l="1"/>
  <c r="G307" i="3"/>
  <c r="K307" i="3"/>
  <c r="AE307" i="3" s="1"/>
  <c r="I307" i="3" l="1"/>
  <c r="J307" i="3"/>
  <c r="AD307" i="3" s="1"/>
  <c r="M307" i="3"/>
  <c r="N307" i="3" s="1"/>
  <c r="V307" i="3"/>
  <c r="A308" i="3"/>
  <c r="B308" i="3" s="1"/>
  <c r="L307" i="3" l="1"/>
  <c r="Z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AD308" i="3" s="1"/>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AD312" i="3" s="1"/>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C317" i="3"/>
  <c r="T317" i="3" l="1"/>
  <c r="AG317" i="3" s="1"/>
  <c r="U316" i="3"/>
  <c r="Y315" i="3"/>
  <c r="E317" i="3" l="1"/>
  <c r="H317" i="3" s="1"/>
  <c r="K317" i="3" s="1"/>
  <c r="AE317" i="3" s="1"/>
  <c r="D317" i="3"/>
  <c r="AH317" i="3"/>
  <c r="V317" i="3" l="1"/>
  <c r="A318" i="3"/>
  <c r="B318" i="3" s="1"/>
  <c r="F317" i="3"/>
  <c r="G317" i="3"/>
  <c r="I317" i="3" l="1"/>
  <c r="W317" i="3" s="1"/>
  <c r="J317" i="3"/>
  <c r="AD317" i="3" s="1"/>
  <c r="M317" i="3"/>
  <c r="N317" i="3" s="1"/>
  <c r="AA318" i="3"/>
  <c r="P318" i="3"/>
  <c r="Q318" i="3" s="1"/>
  <c r="R318" i="3" s="1"/>
  <c r="S318" i="3" s="1"/>
  <c r="Z318" i="3"/>
  <c r="AC318" i="3"/>
  <c r="T318" i="3" l="1"/>
  <c r="L317" i="3"/>
  <c r="AH318" i="3" l="1"/>
  <c r="AG318" i="3"/>
  <c r="U317" i="3"/>
  <c r="E318" i="3" s="1"/>
  <c r="H318" i="3" s="1"/>
  <c r="Y316" i="3"/>
  <c r="K318" i="3" l="1"/>
  <c r="AE318" i="3" s="1"/>
  <c r="D318" i="3"/>
  <c r="V318" i="3" l="1"/>
  <c r="A319" i="3"/>
  <c r="B319" i="3" s="1"/>
  <c r="F318" i="3"/>
  <c r="G318" i="3"/>
  <c r="I318" i="3" l="1"/>
  <c r="W318" i="3" s="1"/>
  <c r="J318" i="3"/>
  <c r="AD318" i="3" s="1"/>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A322" i="3"/>
  <c r="T322" i="3" l="1"/>
  <c r="AH322" i="3" s="1"/>
  <c r="E322" i="3" l="1"/>
  <c r="H322" i="3" s="1"/>
  <c r="K322" i="3" s="1"/>
  <c r="AE322" i="3" s="1"/>
  <c r="AG322" i="3"/>
  <c r="D322" i="3"/>
  <c r="V322" i="3" l="1"/>
  <c r="A323" i="3"/>
  <c r="B323" i="3" s="1"/>
  <c r="F322" i="3"/>
  <c r="G322" i="3"/>
  <c r="I322" i="3" l="1"/>
  <c r="W322" i="3" s="1"/>
  <c r="J322" i="3"/>
  <c r="AD322" i="3" s="1"/>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A367" i="3"/>
  <c r="T367" i="3" l="1"/>
  <c r="AG367" i="3" s="1"/>
  <c r="U366" i="3"/>
  <c r="Y365" i="3"/>
  <c r="D367" i="3" l="1"/>
  <c r="AH367" i="3"/>
  <c r="E367" i="3"/>
  <c r="H367" i="3" s="1"/>
  <c r="F367" i="3" l="1"/>
  <c r="G367" i="3"/>
  <c r="K367" i="3"/>
  <c r="AE367" i="3" s="1"/>
  <c r="I367" i="3" l="1"/>
  <c r="J367" i="3"/>
  <c r="AD367" i="3" s="1"/>
  <c r="M367" i="3"/>
  <c r="N367" i="3" s="1"/>
  <c r="V367" i="3"/>
  <c r="A368" i="3"/>
  <c r="B368" i="3" s="1"/>
  <c r="L367" i="3" l="1"/>
  <c r="W367" i="3"/>
  <c r="Z368" i="3"/>
  <c r="P368" i="3"/>
  <c r="Q368" i="3" s="1"/>
  <c r="R368" i="3" s="1"/>
  <c r="S368" i="3" s="1"/>
  <c r="AC368" i="3"/>
  <c r="AA368" i="3"/>
  <c r="T368" i="3" l="1"/>
  <c r="AH368" i="3" s="1"/>
  <c r="U367" i="3"/>
  <c r="Y366" i="3"/>
  <c r="E368" i="3" l="1"/>
  <c r="H368" i="3" s="1"/>
  <c r="K368" i="3" s="1"/>
  <c r="AE368" i="3" s="1"/>
  <c r="D368" i="3"/>
  <c r="AG368" i="3"/>
  <c r="V368" i="3" l="1"/>
  <c r="A369" i="3"/>
  <c r="B369" i="3" s="1"/>
  <c r="F368" i="3"/>
  <c r="G368" i="3"/>
  <c r="I368" i="3" l="1"/>
  <c r="W368" i="3" s="1"/>
  <c r="J368" i="3"/>
  <c r="AD368" i="3" s="1"/>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L371" i="3" l="1"/>
  <c r="T372" i="3"/>
  <c r="U371" i="3" l="1"/>
  <c r="E372" i="3" s="1"/>
  <c r="H372" i="3" s="1"/>
  <c r="AG372" i="3"/>
  <c r="AH372" i="3"/>
  <c r="Y370" i="3"/>
  <c r="D372" i="3" l="1"/>
  <c r="F372" i="3" s="1"/>
  <c r="K372" i="3"/>
  <c r="AE372" i="3" s="1"/>
  <c r="G372" i="3" l="1"/>
  <c r="M372" i="3" s="1"/>
  <c r="N372" i="3" s="1"/>
  <c r="V372" i="3"/>
  <c r="A373" i="3"/>
  <c r="B373" i="3" s="1"/>
  <c r="J372" i="3" l="1"/>
  <c r="I372" i="3"/>
  <c r="W372" i="3" s="1"/>
  <c r="Z373" i="3"/>
  <c r="AC373" i="3"/>
  <c r="P373" i="3"/>
  <c r="Q373" i="3" s="1"/>
  <c r="R373" i="3" s="1"/>
  <c r="S373" i="3" s="1"/>
  <c r="AA373" i="3"/>
  <c r="L372" i="3" l="1"/>
  <c r="U372" i="3" s="1"/>
  <c r="AD372" i="3"/>
  <c r="T373" i="3"/>
  <c r="Y371" i="3" l="1"/>
  <c r="AH373" i="3"/>
  <c r="D373" i="3"/>
  <c r="G373" i="3" s="1"/>
  <c r="E373" i="3"/>
  <c r="H373" i="3" s="1"/>
  <c r="AG373" i="3"/>
  <c r="F373" i="3" l="1"/>
  <c r="I373" i="3"/>
  <c r="J373" i="3"/>
  <c r="AD373" i="3" s="1"/>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W375" i="3"/>
  <c r="AA376" i="3"/>
  <c r="P376" i="3"/>
  <c r="Q376" i="3" s="1"/>
  <c r="R376" i="3" s="1"/>
  <c r="S376" i="3" s="1"/>
  <c r="AC376" i="3"/>
  <c r="Z376" i="3"/>
  <c r="L375" i="3" l="1"/>
  <c r="U375" i="3" s="1"/>
  <c r="AD375" i="3"/>
  <c r="T376" i="3"/>
  <c r="Y374" i="3" l="1"/>
  <c r="D376" i="3"/>
  <c r="G376" i="3" s="1"/>
  <c r="AG376" i="3"/>
  <c r="AH376" i="3"/>
  <c r="E376" i="3"/>
  <c r="H376" i="3" s="1"/>
  <c r="F376" i="3" l="1"/>
  <c r="I376" i="3"/>
  <c r="J376" i="3"/>
  <c r="AD376" i="3" s="1"/>
  <c r="M376" i="3"/>
  <c r="N376" i="3" s="1"/>
  <c r="K376" i="3"/>
  <c r="AE376" i="3" s="1"/>
  <c r="V376" i="3" l="1"/>
  <c r="W376" i="3" s="1"/>
  <c r="A377" i="3"/>
  <c r="B377" i="3" s="1"/>
  <c r="L376" i="3"/>
  <c r="AC377" i="3" l="1"/>
  <c r="AA377" i="3"/>
  <c r="P377" i="3"/>
  <c r="Q377" i="3" s="1"/>
  <c r="R377" i="3" s="1"/>
  <c r="S377" i="3" s="1"/>
  <c r="Z377" i="3"/>
  <c r="U376" i="3"/>
  <c r="Y375" i="3"/>
  <c r="T377" i="3" l="1"/>
  <c r="AH377" i="3" s="1"/>
  <c r="E377" i="3" l="1"/>
  <c r="H377" i="3" s="1"/>
  <c r="K377" i="3" s="1"/>
  <c r="AE377" i="3" s="1"/>
  <c r="D377" i="3"/>
  <c r="AG377" i="3"/>
  <c r="F377" i="3" l="1"/>
  <c r="G377" i="3"/>
  <c r="M377" i="3" s="1"/>
  <c r="N377" i="3" s="1"/>
  <c r="V377" i="3"/>
  <c r="A378" i="3"/>
  <c r="B378" i="3" s="1"/>
  <c r="I377" i="3" l="1"/>
  <c r="W377" i="3" s="1"/>
  <c r="J377" i="3"/>
  <c r="Z378" i="3"/>
  <c r="AC378" i="3"/>
  <c r="P378" i="3"/>
  <c r="Q378" i="3" s="1"/>
  <c r="R378" i="3" s="1"/>
  <c r="S378" i="3" s="1"/>
  <c r="AA378" i="3"/>
  <c r="L377" i="3" l="1"/>
  <c r="U377" i="3" s="1"/>
  <c r="AD377" i="3"/>
  <c r="T378" i="3"/>
  <c r="Y376" i="3" l="1"/>
  <c r="D378" i="3"/>
  <c r="G378" i="3" s="1"/>
  <c r="AG378" i="3"/>
  <c r="E378" i="3"/>
  <c r="H378" i="3" s="1"/>
  <c r="K378" i="3" s="1"/>
  <c r="AE378" i="3" s="1"/>
  <c r="AH378" i="3"/>
  <c r="F378" i="3" l="1"/>
  <c r="V378" i="3"/>
  <c r="A379" i="3"/>
  <c r="B379" i="3" s="1"/>
  <c r="I378" i="3"/>
  <c r="J378" i="3"/>
  <c r="AD378" i="3" s="1"/>
  <c r="M378" i="3"/>
  <c r="N378" i="3" s="1"/>
  <c r="W378" i="3" l="1"/>
  <c r="L378" i="3"/>
  <c r="Z379" i="3"/>
  <c r="AA379" i="3"/>
  <c r="P379" i="3"/>
  <c r="Q379" i="3" s="1"/>
  <c r="R379" i="3" s="1"/>
  <c r="S379" i="3" s="1"/>
  <c r="AC379" i="3"/>
  <c r="U378" i="3" l="1"/>
  <c r="Y377" i="3"/>
  <c r="T379" i="3"/>
  <c r="AH379" i="3" s="1"/>
  <c r="E379" i="3" l="1"/>
  <c r="H379" i="3" s="1"/>
  <c r="K379" i="3" s="1"/>
  <c r="AE379" i="3" s="1"/>
  <c r="D379" i="3"/>
  <c r="G379" i="3" s="1"/>
  <c r="AG379" i="3"/>
  <c r="F379" i="3" l="1"/>
  <c r="I379" i="3"/>
  <c r="J379" i="3"/>
  <c r="AD379" i="3" s="1"/>
  <c r="M379" i="3"/>
  <c r="N379" i="3" s="1"/>
  <c r="V379" i="3"/>
  <c r="A380" i="3"/>
  <c r="B380" i="3" s="1"/>
  <c r="W379" i="3" l="1"/>
  <c r="L379" i="3"/>
  <c r="Z380" i="3"/>
  <c r="P380" i="3"/>
  <c r="Q380" i="3" s="1"/>
  <c r="R380" i="3" s="1"/>
  <c r="S380" i="3" s="1"/>
  <c r="AC380" i="3"/>
  <c r="AA380" i="3"/>
  <c r="T380" i="3" l="1"/>
  <c r="AH380" i="3" s="1"/>
  <c r="U379" i="3"/>
  <c r="Y378" i="3"/>
  <c r="AG380" i="3" l="1"/>
  <c r="E380" i="3"/>
  <c r="H380" i="3" s="1"/>
  <c r="K380" i="3" s="1"/>
  <c r="AE380" i="3" s="1"/>
  <c r="D380" i="3"/>
  <c r="V380" i="3" l="1"/>
  <c r="A381" i="3"/>
  <c r="B381" i="3" s="1"/>
  <c r="F380" i="3"/>
  <c r="G380" i="3"/>
  <c r="I380" i="3" l="1"/>
  <c r="W380" i="3" s="1"/>
  <c r="J380" i="3"/>
  <c r="AD380" i="3" s="1"/>
  <c r="M380" i="3"/>
  <c r="N380" i="3" s="1"/>
  <c r="Z381" i="3"/>
  <c r="AA381" i="3"/>
  <c r="AC381" i="3"/>
  <c r="P381" i="3"/>
  <c r="Q381" i="3" s="1"/>
  <c r="R381" i="3" s="1"/>
  <c r="S381" i="3" s="1"/>
  <c r="T381" i="3" l="1"/>
  <c r="L380" i="3"/>
  <c r="U380" i="3" l="1"/>
  <c r="E381" i="3" s="1"/>
  <c r="H381" i="3" s="1"/>
  <c r="AH381" i="3"/>
  <c r="AG381" i="3"/>
  <c r="Y379" i="3"/>
  <c r="K381" i="3" l="1"/>
  <c r="AE381" i="3" s="1"/>
  <c r="D381" i="3"/>
  <c r="V381" i="3" l="1"/>
  <c r="A382" i="3"/>
  <c r="B382" i="3" s="1"/>
  <c r="F381" i="3"/>
  <c r="G381" i="3"/>
  <c r="I381" i="3" l="1"/>
  <c r="W381" i="3" s="1"/>
  <c r="J381" i="3"/>
  <c r="AD381" i="3" s="1"/>
  <c r="M381" i="3"/>
  <c r="N381" i="3" s="1"/>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AD382" i="3" s="1"/>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A387" i="3"/>
  <c r="P387" i="3"/>
  <c r="Q387" i="3" s="1"/>
  <c r="R387" i="3" s="1"/>
  <c r="S387" i="3" s="1"/>
  <c r="AC387" i="3"/>
  <c r="Z387" i="3"/>
  <c r="U386" i="3" l="1"/>
  <c r="Y385" i="3"/>
  <c r="T387" i="3"/>
  <c r="AG387" i="3" s="1"/>
  <c r="AH387" i="3" l="1"/>
  <c r="D387" i="3"/>
  <c r="G387" i="3" s="1"/>
  <c r="E387" i="3"/>
  <c r="H387" i="3" s="1"/>
  <c r="F387" i="3" l="1"/>
  <c r="I387" i="3"/>
  <c r="J387" i="3"/>
  <c r="AD387" i="3" s="1"/>
  <c r="M387" i="3"/>
  <c r="N387" i="3" s="1"/>
  <c r="K387" i="3"/>
  <c r="AE387" i="3" s="1"/>
  <c r="V387" i="3" l="1"/>
  <c r="W387" i="3" s="1"/>
  <c r="A388" i="3"/>
  <c r="B388" i="3" s="1"/>
  <c r="L387" i="3"/>
  <c r="U387" i="3" l="1"/>
  <c r="Y386" i="3"/>
  <c r="AA388" i="3"/>
  <c r="Z388" i="3"/>
  <c r="P388" i="3"/>
  <c r="Q388" i="3" s="1"/>
  <c r="R388" i="3" s="1"/>
  <c r="S388" i="3" s="1"/>
  <c r="AC388" i="3"/>
  <c r="T388" i="3" l="1"/>
  <c r="E388" i="3" s="1"/>
  <c r="H388" i="3" s="1"/>
  <c r="K388" i="3" l="1"/>
  <c r="AE388" i="3" s="1"/>
  <c r="D388" i="3"/>
  <c r="AG388" i="3"/>
  <c r="AH388" i="3"/>
  <c r="V388" i="3" l="1"/>
  <c r="A389" i="3"/>
  <c r="B389" i="3" s="1"/>
  <c r="F388" i="3"/>
  <c r="G388" i="3"/>
  <c r="I388" i="3" l="1"/>
  <c r="W388" i="3" s="1"/>
  <c r="J388" i="3"/>
  <c r="AD388" i="3" s="1"/>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Z392" i="3"/>
  <c r="P392" i="3"/>
  <c r="Q392" i="3" s="1"/>
  <c r="R392" i="3" s="1"/>
  <c r="S392" i="3" s="1"/>
  <c r="AA392" i="3"/>
  <c r="AC392" i="3"/>
  <c r="T392" i="3" l="1"/>
  <c r="L391" i="3"/>
  <c r="U391" i="3" l="1"/>
  <c r="D392" i="3" s="1"/>
  <c r="AH392" i="3"/>
  <c r="AG392" i="3"/>
  <c r="Y390" i="3"/>
  <c r="G392" i="3" l="1"/>
  <c r="E392" i="3"/>
  <c r="H392" i="3" s="1"/>
  <c r="F392" i="3" l="1"/>
  <c r="I392" i="3"/>
  <c r="J392" i="3"/>
  <c r="AD392" i="3" s="1"/>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AC398" i="3"/>
  <c r="AA398" i="3"/>
  <c r="P398" i="3"/>
  <c r="Q398" i="3" s="1"/>
  <c r="R398" i="3" s="1"/>
  <c r="S398" i="3" s="1"/>
  <c r="Z398" i="3"/>
  <c r="L397" i="3" l="1"/>
  <c r="U397" i="3" s="1"/>
  <c r="AD397" i="3"/>
  <c r="T398" i="3"/>
  <c r="Y396" i="3" l="1"/>
  <c r="E398" i="3"/>
  <c r="H398" i="3" s="1"/>
  <c r="K398" i="3" s="1"/>
  <c r="AE398" i="3" s="1"/>
  <c r="D398" i="3"/>
  <c r="G398" i="3" s="1"/>
  <c r="AH398" i="3"/>
  <c r="AG398" i="3"/>
  <c r="F398" i="3" l="1"/>
  <c r="V398" i="3"/>
  <c r="A399" i="3"/>
  <c r="B399" i="3" s="1"/>
  <c r="I398" i="3"/>
  <c r="J398" i="3"/>
  <c r="AD398" i="3" s="1"/>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P402" i="3"/>
  <c r="Q402" i="3" s="1"/>
  <c r="R402" i="3" s="1"/>
  <c r="S402" i="3" s="1"/>
  <c r="U401" i="3" l="1"/>
  <c r="Y400" i="3"/>
  <c r="T402" i="3"/>
  <c r="AG402" i="3" s="1"/>
  <c r="AH402" i="3" l="1"/>
  <c r="E402" i="3"/>
  <c r="H402" i="3" s="1"/>
  <c r="K402" i="3" s="1"/>
  <c r="AE402" i="3" s="1"/>
  <c r="D402" i="3"/>
  <c r="G402" i="3" s="1"/>
  <c r="F402" i="3" l="1"/>
  <c r="I402" i="3"/>
  <c r="J402" i="3"/>
  <c r="AD402" i="3" s="1"/>
  <c r="M402" i="3"/>
  <c r="N402" i="3" s="1"/>
  <c r="V402" i="3"/>
  <c r="A403" i="3"/>
  <c r="B403" i="3" s="1"/>
  <c r="W402" i="3" l="1"/>
  <c r="L402" i="3"/>
  <c r="AC403" i="3"/>
  <c r="AA403" i="3"/>
  <c r="P403" i="3"/>
  <c r="Q403" i="3" s="1"/>
  <c r="R403" i="3" s="1"/>
  <c r="S403" i="3" s="1"/>
  <c r="Z403" i="3"/>
  <c r="T403" i="3" l="1"/>
  <c r="AH403" i="3" s="1"/>
  <c r="U402" i="3"/>
  <c r="Y401" i="3"/>
  <c r="AG403" i="3" l="1"/>
  <c r="D403" i="3"/>
  <c r="E403" i="3"/>
  <c r="H403" i="3" s="1"/>
  <c r="F403" i="3" l="1"/>
  <c r="G403" i="3"/>
  <c r="K403" i="3"/>
  <c r="AE403" i="3" s="1"/>
  <c r="V403" i="3" l="1"/>
  <c r="A404" i="3"/>
  <c r="B404" i="3" s="1"/>
  <c r="I403" i="3"/>
  <c r="J403" i="3"/>
  <c r="AD403" i="3" s="1"/>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A405" i="3"/>
  <c r="U404" i="3" l="1"/>
  <c r="Y403" i="3"/>
  <c r="T405" i="3"/>
  <c r="E405" i="3" l="1"/>
  <c r="H405" i="3" s="1"/>
  <c r="K405" i="3" s="1"/>
  <c r="AE405" i="3" s="1"/>
  <c r="AH405" i="3"/>
  <c r="D405" i="3"/>
  <c r="AG405" i="3"/>
  <c r="F405" i="3" l="1"/>
  <c r="G405" i="3"/>
  <c r="V405" i="3"/>
  <c r="A406" i="3"/>
  <c r="B406" i="3" s="1"/>
  <c r="AA406" i="3" l="1"/>
  <c r="AC406" i="3"/>
  <c r="Z406" i="3"/>
  <c r="P406" i="3"/>
  <c r="Q406" i="3" s="1"/>
  <c r="R406" i="3" s="1"/>
  <c r="S406" i="3" s="1"/>
  <c r="I405" i="3"/>
  <c r="W405" i="3" s="1"/>
  <c r="J405" i="3"/>
  <c r="AD405" i="3" s="1"/>
  <c r="M405" i="3"/>
  <c r="N405" i="3" s="1"/>
  <c r="T406" i="3" l="1"/>
  <c r="L405" i="3"/>
  <c r="U405" i="3" l="1"/>
  <c r="E406" i="3" s="1"/>
  <c r="H406" i="3" s="1"/>
  <c r="AH406" i="3"/>
  <c r="AG406" i="3"/>
  <c r="Y404" i="3"/>
  <c r="K406" i="3" l="1"/>
  <c r="AE406" i="3" s="1"/>
  <c r="D406" i="3"/>
  <c r="V406" i="3" l="1"/>
  <c r="A407" i="3"/>
  <c r="B407" i="3" s="1"/>
  <c r="F406" i="3"/>
  <c r="G406" i="3"/>
  <c r="I406" i="3" l="1"/>
  <c r="W406" i="3" s="1"/>
  <c r="J406" i="3"/>
  <c r="AD406" i="3" s="1"/>
  <c r="M406" i="3"/>
  <c r="N406" i="3" s="1"/>
  <c r="AC407" i="3"/>
  <c r="Z407" i="3"/>
  <c r="P407" i="3"/>
  <c r="Q407" i="3" s="1"/>
  <c r="R407" i="3" s="1"/>
  <c r="S407" i="3" s="1"/>
  <c r="AA407" i="3"/>
  <c r="L406" i="3" l="1"/>
  <c r="T407" i="3"/>
  <c r="U406" i="3" l="1"/>
  <c r="D407" i="3" s="1"/>
  <c r="AG407" i="3"/>
  <c r="AH407" i="3"/>
  <c r="Y405" i="3"/>
  <c r="G407" i="3" l="1"/>
  <c r="E407" i="3"/>
  <c r="H407" i="3" s="1"/>
  <c r="F407" i="3" l="1"/>
  <c r="I407" i="3"/>
  <c r="J407" i="3"/>
  <c r="AD407" i="3" s="1"/>
  <c r="M407" i="3"/>
  <c r="N407" i="3" s="1"/>
  <c r="K407" i="3"/>
  <c r="AE407" i="3" s="1"/>
  <c r="V407" i="3" l="1"/>
  <c r="W407" i="3" s="1"/>
  <c r="A408" i="3"/>
  <c r="B408" i="3" s="1"/>
  <c r="L407" i="3"/>
  <c r="U407" i="3" l="1"/>
  <c r="Y406" i="3"/>
  <c r="Z408" i="3"/>
  <c r="AC408" i="3"/>
  <c r="P408" i="3"/>
  <c r="Q408" i="3" s="1"/>
  <c r="R408" i="3" s="1"/>
  <c r="S408" i="3" s="1"/>
  <c r="AA408" i="3"/>
  <c r="T408" i="3" l="1"/>
  <c r="AH408" i="3" s="1"/>
  <c r="E408" i="3" l="1"/>
  <c r="H408" i="3" s="1"/>
  <c r="K408" i="3" s="1"/>
  <c r="AE408" i="3" s="1"/>
  <c r="D408" i="3"/>
  <c r="G408" i="3" s="1"/>
  <c r="AG408" i="3"/>
  <c r="F408" i="3" l="1"/>
  <c r="I408" i="3"/>
  <c r="J408" i="3"/>
  <c r="AD408" i="3" s="1"/>
  <c r="M408" i="3"/>
  <c r="N408" i="3" s="1"/>
  <c r="V408" i="3"/>
  <c r="A409" i="3"/>
  <c r="B409" i="3" s="1"/>
  <c r="W408" i="3" l="1"/>
  <c r="L408" i="3"/>
  <c r="AA409" i="3"/>
  <c r="AC409" i="3"/>
  <c r="P409" i="3"/>
  <c r="Q409" i="3" s="1"/>
  <c r="R409" i="3" s="1"/>
  <c r="S409" i="3" s="1"/>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Z410" i="3"/>
  <c r="I409" i="3"/>
  <c r="W409" i="3" s="1"/>
  <c r="J409" i="3"/>
  <c r="AD409" i="3" s="1"/>
  <c r="M409" i="3"/>
  <c r="N409" i="3" s="1"/>
  <c r="T410" i="3" l="1"/>
  <c r="L409" i="3"/>
  <c r="AG410" i="3" l="1"/>
  <c r="U409" i="3"/>
  <c r="D410" i="3" s="1"/>
  <c r="AH410" i="3"/>
  <c r="Y408" i="3"/>
  <c r="E410" i="3" l="1"/>
  <c r="H410" i="3" s="1"/>
  <c r="K410" i="3" s="1"/>
  <c r="AE410" i="3" s="1"/>
  <c r="G410" i="3"/>
  <c r="F410" i="3" l="1"/>
  <c r="I410" i="3"/>
  <c r="J410" i="3"/>
  <c r="AD410" i="3" s="1"/>
  <c r="M410" i="3"/>
  <c r="N410" i="3" s="1"/>
  <c r="V410" i="3"/>
  <c r="A411" i="3"/>
  <c r="B411" i="3" s="1"/>
  <c r="W410" i="3" l="1"/>
  <c r="L410" i="3"/>
  <c r="AC411" i="3"/>
  <c r="P411" i="3"/>
  <c r="Q411" i="3" s="1"/>
  <c r="R411" i="3" s="1"/>
  <c r="S411" i="3" s="1"/>
  <c r="AA411" i="3"/>
  <c r="Z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I411" i="3"/>
  <c r="W411" i="3" s="1"/>
  <c r="J411" i="3"/>
  <c r="AD411" i="3" s="1"/>
  <c r="M411" i="3"/>
  <c r="N411" i="3" s="1"/>
  <c r="T412" i="3" l="1"/>
  <c r="L411" i="3"/>
  <c r="U411" i="3" l="1"/>
  <c r="D412" i="3" s="1"/>
  <c r="AG412" i="3"/>
  <c r="AH412" i="3"/>
  <c r="Y410" i="3"/>
  <c r="G412" i="3" l="1"/>
  <c r="E412" i="3"/>
  <c r="H412" i="3" s="1"/>
  <c r="F412" i="3" l="1"/>
  <c r="I412" i="3"/>
  <c r="J412" i="3"/>
  <c r="AD412" i="3" s="1"/>
  <c r="M412" i="3"/>
  <c r="N412" i="3" s="1"/>
  <c r="K412" i="3"/>
  <c r="AE412" i="3" s="1"/>
  <c r="V412" i="3" l="1"/>
  <c r="W412" i="3" s="1"/>
  <c r="A413" i="3"/>
  <c r="B413" i="3" s="1"/>
  <c r="L412" i="3"/>
  <c r="U412" i="3" l="1"/>
  <c r="Y411" i="3"/>
  <c r="Z413" i="3"/>
  <c r="P413" i="3"/>
  <c r="Q413" i="3" s="1"/>
  <c r="R413" i="3" s="1"/>
  <c r="S413" i="3" s="1"/>
  <c r="AA413" i="3"/>
  <c r="AC413" i="3"/>
  <c r="T413" i="3" l="1"/>
  <c r="D413" i="3" s="1"/>
  <c r="E413" i="3" l="1"/>
  <c r="H413" i="3" s="1"/>
  <c r="K413" i="3" s="1"/>
  <c r="AE413" i="3" s="1"/>
  <c r="AH413" i="3"/>
  <c r="G413" i="3"/>
  <c r="AG413" i="3"/>
  <c r="F413" i="3" l="1"/>
  <c r="I413" i="3"/>
  <c r="J413" i="3"/>
  <c r="AD413" i="3" s="1"/>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U424" i="3" l="1"/>
  <c r="Y423" i="3"/>
  <c r="T425" i="3"/>
  <c r="E425" i="3" l="1"/>
  <c r="H425" i="3" s="1"/>
  <c r="K425" i="3" s="1"/>
  <c r="AE425" i="3" s="1"/>
  <c r="D425" i="3"/>
  <c r="G425" i="3" s="1"/>
  <c r="AH425" i="3"/>
  <c r="AG425" i="3"/>
  <c r="F425" i="3" l="1"/>
  <c r="I425" i="3"/>
  <c r="J425" i="3"/>
  <c r="AD425" i="3" s="1"/>
  <c r="M425" i="3"/>
  <c r="N425" i="3" s="1"/>
  <c r="V425" i="3"/>
  <c r="A426" i="3"/>
  <c r="B426" i="3" s="1"/>
  <c r="L425" i="3" l="1"/>
  <c r="W425" i="3"/>
  <c r="P426" i="3"/>
  <c r="Q426" i="3" s="1"/>
  <c r="R426" i="3" s="1"/>
  <c r="S426" i="3" s="1"/>
  <c r="AA426" i="3"/>
  <c r="Z426" i="3"/>
  <c r="AC426" i="3"/>
  <c r="U425" i="3" l="1"/>
  <c r="Y424" i="3"/>
  <c r="T426" i="3"/>
  <c r="AH426" i="3" s="1"/>
  <c r="E426" i="3" l="1"/>
  <c r="H426" i="3" s="1"/>
  <c r="D426" i="3"/>
  <c r="AG426" i="3"/>
  <c r="K426" i="3" l="1"/>
  <c r="AE426" i="3" s="1"/>
  <c r="F426" i="3"/>
  <c r="G426" i="3"/>
  <c r="V426" i="3" l="1"/>
  <c r="A427" i="3"/>
  <c r="B427" i="3" s="1"/>
  <c r="I426" i="3"/>
  <c r="J426" i="3"/>
  <c r="AD426" i="3" s="1"/>
  <c r="M426" i="3"/>
  <c r="N426" i="3" s="1"/>
  <c r="W426" i="3" l="1"/>
  <c r="L426" i="3"/>
  <c r="P427" i="3"/>
  <c r="Q427" i="3" s="1"/>
  <c r="R427" i="3" s="1"/>
  <c r="S427" i="3" s="1"/>
  <c r="AC427" i="3"/>
  <c r="Z427" i="3"/>
  <c r="AA427" i="3"/>
  <c r="U426" i="3" l="1"/>
  <c r="Y425" i="3"/>
  <c r="T427" i="3"/>
  <c r="AG427" i="3" s="1"/>
  <c r="D427" i="3" l="1"/>
  <c r="G427" i="3" s="1"/>
  <c r="E427" i="3"/>
  <c r="H427" i="3" s="1"/>
  <c r="K427" i="3" s="1"/>
  <c r="AE427" i="3" s="1"/>
  <c r="AH427" i="3"/>
  <c r="F427" i="3" l="1"/>
  <c r="I427" i="3"/>
  <c r="J427" i="3"/>
  <c r="AD427" i="3" s="1"/>
  <c r="M427" i="3"/>
  <c r="N427" i="3" s="1"/>
  <c r="V427" i="3"/>
  <c r="A428" i="3"/>
  <c r="B428" i="3" s="1"/>
  <c r="W427" i="3" l="1"/>
  <c r="L427" i="3"/>
  <c r="P428" i="3"/>
  <c r="Q428" i="3" s="1"/>
  <c r="R428" i="3" s="1"/>
  <c r="S428" i="3" s="1"/>
  <c r="AC428" i="3"/>
  <c r="Z428" i="3"/>
  <c r="AA428" i="3"/>
  <c r="U427" i="3" l="1"/>
  <c r="Y426" i="3"/>
  <c r="T428" i="3"/>
  <c r="AG428" i="3" s="1"/>
  <c r="E428" i="3" l="1"/>
  <c r="H428" i="3" s="1"/>
  <c r="AH428" i="3"/>
  <c r="D428" i="3"/>
  <c r="K428" i="3" l="1"/>
  <c r="AE428" i="3" s="1"/>
  <c r="F428" i="3"/>
  <c r="G428" i="3"/>
  <c r="I428" i="3" l="1"/>
  <c r="J428" i="3"/>
  <c r="AD428" i="3" s="1"/>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T432" i="3" l="1"/>
  <c r="AH432" i="3" s="1"/>
  <c r="U431" i="3"/>
  <c r="Y430" i="3"/>
  <c r="AG432" i="3" l="1"/>
  <c r="E432" i="3"/>
  <c r="H432" i="3" s="1"/>
  <c r="D432" i="3"/>
  <c r="K432" i="3" l="1"/>
  <c r="AE432" i="3" s="1"/>
  <c r="F432" i="3"/>
  <c r="G432" i="3"/>
  <c r="I432" i="3" l="1"/>
  <c r="J432" i="3"/>
  <c r="AD432" i="3" s="1"/>
  <c r="M432" i="3"/>
  <c r="N432" i="3" s="1"/>
  <c r="V432" i="3"/>
  <c r="A433" i="3"/>
  <c r="B433" i="3" s="1"/>
  <c r="W432" i="3" l="1"/>
  <c r="L432" i="3"/>
  <c r="P433" i="3"/>
  <c r="Q433" i="3" s="1"/>
  <c r="R433" i="3" s="1"/>
  <c r="S433" i="3" s="1"/>
  <c r="AC433" i="3"/>
  <c r="Z433" i="3"/>
  <c r="AA433" i="3"/>
  <c r="U432" i="3" l="1"/>
  <c r="Y431" i="3"/>
  <c r="T433" i="3"/>
  <c r="E433" i="3" l="1"/>
  <c r="H433" i="3" s="1"/>
  <c r="K433" i="3" s="1"/>
  <c r="AE433" i="3" s="1"/>
  <c r="D433" i="3"/>
  <c r="AG433" i="3"/>
  <c r="AH433" i="3"/>
  <c r="F433" i="3" l="1"/>
  <c r="G433" i="3"/>
  <c r="M433" i="3" s="1"/>
  <c r="N433" i="3" s="1"/>
  <c r="V433" i="3"/>
  <c r="A434" i="3"/>
  <c r="B434" i="3" s="1"/>
  <c r="I433" i="3" l="1"/>
  <c r="W433" i="3" s="1"/>
  <c r="J433" i="3"/>
  <c r="P434" i="3"/>
  <c r="Q434" i="3" s="1"/>
  <c r="R434" i="3" s="1"/>
  <c r="S434" i="3" s="1"/>
  <c r="Z434" i="3"/>
  <c r="AA434" i="3"/>
  <c r="AC434" i="3"/>
  <c r="L433" i="3" l="1"/>
  <c r="U433" i="3" s="1"/>
  <c r="AD433" i="3"/>
  <c r="T434" i="3"/>
  <c r="AH434" i="3" l="1"/>
  <c r="Y432" i="3"/>
  <c r="E434" i="3"/>
  <c r="H434" i="3" s="1"/>
  <c r="K434" i="3" s="1"/>
  <c r="AE434" i="3" s="1"/>
  <c r="AG434" i="3"/>
  <c r="D434" i="3"/>
  <c r="F434" i="3" l="1"/>
  <c r="G434" i="3"/>
  <c r="M434" i="3" s="1"/>
  <c r="N434" i="3" s="1"/>
  <c r="V434" i="3"/>
  <c r="A435" i="3"/>
  <c r="B435" i="3" s="1"/>
  <c r="I434" i="3" l="1"/>
  <c r="W434" i="3" s="1"/>
  <c r="J434" i="3"/>
  <c r="P435" i="3"/>
  <c r="Q435" i="3" s="1"/>
  <c r="R435" i="3" s="1"/>
  <c r="S435" i="3" s="1"/>
  <c r="AA435" i="3"/>
  <c r="AC435" i="3"/>
  <c r="Z435" i="3"/>
  <c r="L434" i="3" l="1"/>
  <c r="Y433" i="3" s="1"/>
  <c r="AD434" i="3"/>
  <c r="T435" i="3"/>
  <c r="U434" i="3" l="1"/>
  <c r="E435" i="3" s="1"/>
  <c r="H435" i="3" s="1"/>
  <c r="AG435" i="3"/>
  <c r="AH435" i="3"/>
  <c r="D435" i="3" l="1"/>
  <c r="G435" i="3" s="1"/>
  <c r="I435" i="3" s="1"/>
  <c r="K435" i="3"/>
  <c r="AE435" i="3" s="1"/>
  <c r="J435" i="3" l="1"/>
  <c r="M435" i="3"/>
  <c r="N435" i="3" s="1"/>
  <c r="F435" i="3"/>
  <c r="V435" i="3"/>
  <c r="W435" i="3" s="1"/>
  <c r="A436" i="3"/>
  <c r="B436" i="3" s="1"/>
  <c r="L435" i="3" l="1"/>
  <c r="Y434" i="3" s="1"/>
  <c r="AD435" i="3"/>
  <c r="AC436" i="3"/>
  <c r="Z436" i="3"/>
  <c r="P436" i="3"/>
  <c r="Q436" i="3" s="1"/>
  <c r="R436" i="3" s="1"/>
  <c r="S436" i="3" s="1"/>
  <c r="AA436" i="3"/>
  <c r="U435" i="3" l="1"/>
  <c r="T436" i="3"/>
  <c r="E436" i="3" l="1"/>
  <c r="H436" i="3" s="1"/>
  <c r="D436" i="3"/>
  <c r="AH436" i="3"/>
  <c r="AG436" i="3"/>
  <c r="F436" i="3" l="1"/>
  <c r="G436" i="3"/>
  <c r="K436" i="3"/>
  <c r="AE436" i="3" s="1"/>
  <c r="I436" i="3" l="1"/>
  <c r="J436" i="3"/>
  <c r="AD436" i="3" s="1"/>
  <c r="M436" i="3"/>
  <c r="N436" i="3" s="1"/>
  <c r="V436" i="3"/>
  <c r="A437" i="3"/>
  <c r="B437" i="3" s="1"/>
  <c r="W436" i="3" l="1"/>
  <c r="L436" i="3"/>
  <c r="AC437" i="3"/>
  <c r="AA437" i="3"/>
  <c r="P437" i="3"/>
  <c r="Q437" i="3" s="1"/>
  <c r="R437" i="3" s="1"/>
  <c r="S437" i="3" s="1"/>
  <c r="Z437" i="3"/>
  <c r="U436" i="3" l="1"/>
  <c r="Y435" i="3"/>
  <c r="T437" i="3"/>
  <c r="AH437" i="3" s="1"/>
  <c r="D437" i="3" l="1"/>
  <c r="G437" i="3" s="1"/>
  <c r="E437" i="3"/>
  <c r="H437" i="3" s="1"/>
  <c r="K437" i="3" s="1"/>
  <c r="AE437" i="3" s="1"/>
  <c r="AG437" i="3"/>
  <c r="F437" i="3" l="1"/>
  <c r="I437" i="3"/>
  <c r="J437" i="3"/>
  <c r="AD437" i="3" s="1"/>
  <c r="M437" i="3"/>
  <c r="N437" i="3" s="1"/>
  <c r="V437" i="3"/>
  <c r="A438" i="3"/>
  <c r="B438" i="3" s="1"/>
  <c r="W437" i="3" l="1"/>
  <c r="L437" i="3"/>
  <c r="Z438" i="3"/>
  <c r="P438" i="3"/>
  <c r="Q438" i="3" s="1"/>
  <c r="R438" i="3" s="1"/>
  <c r="S438" i="3" s="1"/>
  <c r="AC438" i="3"/>
  <c r="AA438" i="3"/>
  <c r="U437" i="3" l="1"/>
  <c r="Y436" i="3"/>
  <c r="T438" i="3"/>
  <c r="E438" i="3" l="1"/>
  <c r="H438" i="3" s="1"/>
  <c r="K438" i="3" s="1"/>
  <c r="AE438" i="3" s="1"/>
  <c r="D438" i="3"/>
  <c r="AH438" i="3"/>
  <c r="AG438" i="3"/>
  <c r="V438" i="3" l="1"/>
  <c r="A439" i="3"/>
  <c r="B439" i="3" s="1"/>
  <c r="F438" i="3"/>
  <c r="G438" i="3"/>
  <c r="I438" i="3" l="1"/>
  <c r="W438" i="3" s="1"/>
  <c r="J438" i="3"/>
  <c r="AD438" i="3" s="1"/>
  <c r="M438" i="3"/>
  <c r="N438" i="3" s="1"/>
  <c r="Z439" i="3"/>
  <c r="P439" i="3"/>
  <c r="Q439" i="3" s="1"/>
  <c r="R439" i="3" s="1"/>
  <c r="S439" i="3" s="1"/>
  <c r="AC439" i="3"/>
  <c r="AA439" i="3"/>
  <c r="T439" i="3" l="1"/>
  <c r="L438" i="3"/>
  <c r="AG439" i="3" l="1"/>
  <c r="AH439" i="3"/>
  <c r="U438" i="3"/>
  <c r="E439" i="3" s="1"/>
  <c r="H439" i="3" s="1"/>
  <c r="Y437" i="3"/>
  <c r="D439" i="3" l="1"/>
  <c r="G439" i="3" s="1"/>
  <c r="K439" i="3"/>
  <c r="AE439" i="3" s="1"/>
  <c r="F439" i="3" l="1"/>
  <c r="V439" i="3"/>
  <c r="A440" i="3"/>
  <c r="B440" i="3" s="1"/>
  <c r="I439" i="3"/>
  <c r="J439" i="3"/>
  <c r="AD439" i="3" s="1"/>
  <c r="M439" i="3"/>
  <c r="N439" i="3" s="1"/>
  <c r="W439" i="3" l="1"/>
  <c r="L439" i="3"/>
  <c r="Z440" i="3"/>
  <c r="AC440" i="3"/>
  <c r="P440" i="3"/>
  <c r="Q440" i="3" s="1"/>
  <c r="R440" i="3" s="1"/>
  <c r="S440" i="3" s="1"/>
  <c r="AA440" i="3"/>
  <c r="T440" i="3" l="1"/>
  <c r="AH440" i="3" s="1"/>
  <c r="U439" i="3"/>
  <c r="Y438" i="3"/>
  <c r="AG440" i="3" l="1"/>
  <c r="D440" i="3"/>
  <c r="E440" i="3"/>
  <c r="H440" i="3" s="1"/>
  <c r="K440" i="3" l="1"/>
  <c r="AE440" i="3" s="1"/>
  <c r="F440" i="3"/>
  <c r="G440" i="3"/>
  <c r="I440" i="3" l="1"/>
  <c r="J440" i="3"/>
  <c r="AD440" i="3" s="1"/>
  <c r="M440" i="3"/>
  <c r="N440" i="3" s="1"/>
  <c r="V440" i="3"/>
  <c r="A441" i="3"/>
  <c r="B441" i="3" s="1"/>
  <c r="W440" i="3" l="1"/>
  <c r="L440" i="3"/>
  <c r="P441" i="3"/>
  <c r="Q441" i="3" s="1"/>
  <c r="R441" i="3" s="1"/>
  <c r="S441" i="3" s="1"/>
  <c r="AC441" i="3"/>
  <c r="Z441" i="3"/>
  <c r="AA441" i="3"/>
  <c r="T441" i="3" l="1"/>
  <c r="AH441" i="3" s="1"/>
  <c r="U440" i="3"/>
  <c r="Y439" i="3"/>
  <c r="E441" i="3" l="1"/>
  <c r="H441" i="3" s="1"/>
  <c r="K441" i="3" s="1"/>
  <c r="AE441" i="3" s="1"/>
  <c r="AG441" i="3"/>
  <c r="D441" i="3"/>
  <c r="V441" i="3" l="1"/>
  <c r="A442" i="3"/>
  <c r="B442" i="3" s="1"/>
  <c r="F441" i="3"/>
  <c r="G441" i="3"/>
  <c r="I441" i="3" l="1"/>
  <c r="W441" i="3" s="1"/>
  <c r="J441" i="3"/>
  <c r="AD441" i="3" s="1"/>
  <c r="M441" i="3"/>
  <c r="N441" i="3" s="1"/>
  <c r="AC442" i="3"/>
  <c r="AA442" i="3"/>
  <c r="P442" i="3"/>
  <c r="Q442" i="3" s="1"/>
  <c r="R442" i="3" s="1"/>
  <c r="S442" i="3" s="1"/>
  <c r="Z442" i="3"/>
  <c r="T442" i="3" l="1"/>
  <c r="L441" i="3"/>
  <c r="U441" i="3" l="1"/>
  <c r="D442" i="3" s="1"/>
  <c r="AH442" i="3"/>
  <c r="AG442" i="3"/>
  <c r="Y440" i="3"/>
  <c r="G442" i="3" l="1"/>
  <c r="E442" i="3"/>
  <c r="H442" i="3" s="1"/>
  <c r="I442" i="3" l="1"/>
  <c r="J442" i="3"/>
  <c r="AD442" i="3" s="1"/>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U446" i="3"/>
  <c r="Y445" i="3"/>
  <c r="T447" i="3" l="1"/>
  <c r="AG447" i="3" s="1"/>
  <c r="D447" i="3" l="1"/>
  <c r="G447" i="3" s="1"/>
  <c r="AH447" i="3"/>
  <c r="E447" i="3"/>
  <c r="H447" i="3" s="1"/>
  <c r="K447" i="3" s="1"/>
  <c r="AE447" i="3" s="1"/>
  <c r="F447" i="3" l="1"/>
  <c r="I447" i="3"/>
  <c r="J447" i="3"/>
  <c r="AD447" i="3" s="1"/>
  <c r="M447" i="3"/>
  <c r="N447" i="3" s="1"/>
  <c r="V447" i="3"/>
  <c r="A448" i="3"/>
  <c r="B448" i="3" s="1"/>
  <c r="W447" i="3" l="1"/>
  <c r="L447" i="3"/>
  <c r="Z448" i="3"/>
  <c r="AA448" i="3"/>
  <c r="P448" i="3"/>
  <c r="Q448" i="3" s="1"/>
  <c r="R448" i="3" s="1"/>
  <c r="S448" i="3" s="1"/>
  <c r="AC448" i="3"/>
  <c r="T448" i="3" l="1"/>
  <c r="AG448" i="3" s="1"/>
  <c r="U447" i="3"/>
  <c r="Y446" i="3"/>
  <c r="D448" i="3" l="1"/>
  <c r="G448" i="3" s="1"/>
  <c r="E448" i="3"/>
  <c r="H448" i="3" s="1"/>
  <c r="AH448" i="3"/>
  <c r="F448" i="3" l="1"/>
  <c r="I448" i="3"/>
  <c r="J448" i="3"/>
  <c r="AD448" i="3" s="1"/>
  <c r="M448" i="3"/>
  <c r="N448" i="3" s="1"/>
  <c r="K448" i="3"/>
  <c r="AE448" i="3" s="1"/>
  <c r="V448" i="3" l="1"/>
  <c r="W448" i="3" s="1"/>
  <c r="A449" i="3"/>
  <c r="B449" i="3" s="1"/>
  <c r="L448" i="3"/>
  <c r="U448" i="3" l="1"/>
  <c r="Y447" i="3"/>
  <c r="P449" i="3"/>
  <c r="Q449" i="3" s="1"/>
  <c r="R449" i="3" s="1"/>
  <c r="S449" i="3" s="1"/>
  <c r="AA449" i="3"/>
  <c r="Z449" i="3"/>
  <c r="AC449" i="3"/>
  <c r="T449" i="3" l="1"/>
  <c r="D449" i="3" s="1"/>
  <c r="G449" i="3" l="1"/>
  <c r="AG449" i="3"/>
  <c r="AH449" i="3"/>
  <c r="E449" i="3"/>
  <c r="H449" i="3" s="1"/>
  <c r="K449" i="3" l="1"/>
  <c r="AE449" i="3" s="1"/>
  <c r="F449" i="3"/>
  <c r="I449" i="3"/>
  <c r="J449" i="3"/>
  <c r="AD449" i="3" s="1"/>
  <c r="M449" i="3"/>
  <c r="N449" i="3" s="1"/>
  <c r="L449" i="3" l="1"/>
  <c r="V449" i="3"/>
  <c r="W449" i="3" s="1"/>
  <c r="A450" i="3"/>
  <c r="B450" i="3" s="1"/>
  <c r="P450" i="3" l="1"/>
  <c r="Q450" i="3" s="1"/>
  <c r="R450" i="3" s="1"/>
  <c r="S450" i="3" s="1"/>
  <c r="Z450" i="3"/>
  <c r="AC450" i="3"/>
  <c r="AA450" i="3"/>
  <c r="U449" i="3"/>
  <c r="Y448" i="3"/>
  <c r="T450" i="3" l="1"/>
  <c r="D450" i="3" s="1"/>
  <c r="AH450" i="3" l="1"/>
  <c r="G450" i="3"/>
  <c r="E450" i="3"/>
  <c r="H450" i="3" s="1"/>
  <c r="AG450" i="3"/>
  <c r="F450" i="3" l="1"/>
  <c r="I450" i="3"/>
  <c r="J450" i="3"/>
  <c r="AD450" i="3" s="1"/>
  <c r="M450" i="3"/>
  <c r="N450" i="3" s="1"/>
  <c r="K450" i="3"/>
  <c r="AE450" i="3" s="1"/>
  <c r="V450" i="3" l="1"/>
  <c r="W450" i="3" s="1"/>
  <c r="A451" i="3"/>
  <c r="B451" i="3" s="1"/>
  <c r="L450" i="3"/>
  <c r="U450" i="3" l="1"/>
  <c r="Y449" i="3"/>
  <c r="P451" i="3"/>
  <c r="Q451" i="3" s="1"/>
  <c r="R451" i="3" s="1"/>
  <c r="S451" i="3" s="1"/>
  <c r="Z451" i="3"/>
  <c r="AA451" i="3"/>
  <c r="AC451" i="3"/>
  <c r="T451" i="3" l="1"/>
  <c r="AG451" i="3" s="1"/>
  <c r="E451" i="3" l="1"/>
  <c r="H451" i="3" s="1"/>
  <c r="K451" i="3" s="1"/>
  <c r="AE451" i="3" s="1"/>
  <c r="AH451" i="3"/>
  <c r="D451" i="3"/>
  <c r="V451" i="3" l="1"/>
  <c r="A452" i="3"/>
  <c r="B452" i="3" s="1"/>
  <c r="F451" i="3"/>
  <c r="G451" i="3"/>
  <c r="I451" i="3" l="1"/>
  <c r="W451" i="3" s="1"/>
  <c r="J451" i="3"/>
  <c r="AD451" i="3" s="1"/>
  <c r="M451" i="3"/>
  <c r="N451" i="3" s="1"/>
  <c r="AA452" i="3"/>
  <c r="P452" i="3"/>
  <c r="Q452" i="3" s="1"/>
  <c r="R452" i="3" s="1"/>
  <c r="S452" i="3" s="1"/>
  <c r="AC452" i="3"/>
  <c r="Z452" i="3"/>
  <c r="T452" i="3" l="1"/>
  <c r="L451" i="3"/>
  <c r="U451" i="3" l="1"/>
  <c r="D452" i="3" s="1"/>
  <c r="AH452" i="3"/>
  <c r="AG452" i="3"/>
  <c r="Y450" i="3"/>
  <c r="E452" i="3" l="1"/>
  <c r="H452" i="3" s="1"/>
  <c r="K452" i="3" s="1"/>
  <c r="AE452" i="3" s="1"/>
  <c r="G452" i="3"/>
  <c r="F452" i="3" l="1"/>
  <c r="I452" i="3"/>
  <c r="J452" i="3"/>
  <c r="AD452" i="3" s="1"/>
  <c r="M452" i="3"/>
  <c r="N452" i="3" s="1"/>
  <c r="V452" i="3"/>
  <c r="A453" i="3"/>
  <c r="B453" i="3" s="1"/>
  <c r="W452" i="3" l="1"/>
  <c r="L452" i="3"/>
  <c r="AA453" i="3"/>
  <c r="P453" i="3"/>
  <c r="Q453" i="3" s="1"/>
  <c r="R453" i="3" s="1"/>
  <c r="S453" i="3" s="1"/>
  <c r="AC453" i="3"/>
  <c r="Z453" i="3"/>
  <c r="U452" i="3" l="1"/>
  <c r="Y451" i="3"/>
  <c r="T453" i="3"/>
  <c r="AH453" i="3" s="1"/>
  <c r="AG453" i="3" l="1"/>
  <c r="E453" i="3"/>
  <c r="H453" i="3" s="1"/>
  <c r="D453" i="3"/>
  <c r="K453" i="3" l="1"/>
  <c r="AE453" i="3" s="1"/>
  <c r="F453" i="3"/>
  <c r="G453" i="3"/>
  <c r="I453" i="3" l="1"/>
  <c r="J453" i="3"/>
  <c r="AD453" i="3" s="1"/>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AD455" i="3" s="1"/>
  <c r="M455" i="3"/>
  <c r="N455" i="3" s="1"/>
  <c r="V455" i="3"/>
  <c r="A456" i="3"/>
  <c r="B456" i="3" s="1"/>
  <c r="W455" i="3" l="1"/>
  <c r="L455" i="3"/>
  <c r="AC456" i="3"/>
  <c r="P456" i="3"/>
  <c r="Q456" i="3" s="1"/>
  <c r="R456" i="3" s="1"/>
  <c r="S456" i="3" s="1"/>
  <c r="Z456" i="3"/>
  <c r="AA456" i="3"/>
  <c r="U455" i="3" l="1"/>
  <c r="Y454" i="3"/>
  <c r="T456" i="3"/>
  <c r="AG456" i="3" s="1"/>
  <c r="D456" i="3" l="1"/>
  <c r="G456" i="3" s="1"/>
  <c r="AH456" i="3"/>
  <c r="E456" i="3"/>
  <c r="H456" i="3" s="1"/>
  <c r="I456" i="3" l="1"/>
  <c r="J456" i="3"/>
  <c r="AD456" i="3" s="1"/>
  <c r="M456" i="3"/>
  <c r="N456" i="3" s="1"/>
  <c r="K456" i="3"/>
  <c r="AE456" i="3" s="1"/>
  <c r="F456" i="3"/>
  <c r="V456" i="3" l="1"/>
  <c r="W456" i="3" s="1"/>
  <c r="A457" i="3"/>
  <c r="B457" i="3" s="1"/>
  <c r="L456" i="3"/>
  <c r="Z457" i="3" l="1"/>
  <c r="AC457" i="3"/>
  <c r="P457" i="3"/>
  <c r="Q457" i="3" s="1"/>
  <c r="R457" i="3" s="1"/>
  <c r="S457" i="3" s="1"/>
  <c r="AA457" i="3"/>
  <c r="U456" i="3"/>
  <c r="Y455" i="3"/>
  <c r="T457" i="3" l="1"/>
  <c r="D457" i="3" l="1"/>
  <c r="AH457" i="3"/>
  <c r="E457" i="3"/>
  <c r="H457" i="3" s="1"/>
  <c r="AG457" i="3"/>
  <c r="F457" i="3" l="1"/>
  <c r="G457" i="3"/>
  <c r="K457" i="3"/>
  <c r="AE457" i="3" s="1"/>
  <c r="I457" i="3" l="1"/>
  <c r="J457" i="3"/>
  <c r="AD457" i="3" s="1"/>
  <c r="M457" i="3"/>
  <c r="N457" i="3" s="1"/>
  <c r="V457" i="3"/>
  <c r="A458" i="3"/>
  <c r="B458" i="3" s="1"/>
  <c r="L457" i="3" l="1"/>
  <c r="W457" i="3"/>
  <c r="P458" i="3"/>
  <c r="Q458" i="3" s="1"/>
  <c r="R458" i="3" s="1"/>
  <c r="S458" i="3" s="1"/>
  <c r="AC458" i="3"/>
  <c r="Z458" i="3"/>
  <c r="AA458" i="3"/>
  <c r="U457" i="3" l="1"/>
  <c r="Y456" i="3"/>
  <c r="T458" i="3"/>
  <c r="AH458" i="3" s="1"/>
  <c r="AG458" i="3" l="1"/>
  <c r="E458" i="3"/>
  <c r="H458" i="3" s="1"/>
  <c r="D458" i="3"/>
  <c r="K458" i="3" l="1"/>
  <c r="AE458" i="3" s="1"/>
  <c r="F458" i="3"/>
  <c r="G458" i="3"/>
  <c r="V458" i="3" l="1"/>
  <c r="A459" i="3"/>
  <c r="B459" i="3" s="1"/>
  <c r="I458" i="3"/>
  <c r="J458" i="3"/>
  <c r="AD458" i="3" s="1"/>
  <c r="M458" i="3"/>
  <c r="N458" i="3" s="1"/>
  <c r="W458" i="3" l="1"/>
  <c r="L458" i="3"/>
  <c r="Z459" i="3"/>
  <c r="P459" i="3"/>
  <c r="Q459" i="3" s="1"/>
  <c r="R459" i="3" s="1"/>
  <c r="S459" i="3" s="1"/>
  <c r="AA459" i="3"/>
  <c r="AC459" i="3"/>
  <c r="T459" i="3" l="1"/>
  <c r="AH459" i="3" s="1"/>
  <c r="U458" i="3"/>
  <c r="Y457" i="3"/>
  <c r="AG459" i="3" l="1"/>
  <c r="D459" i="3"/>
  <c r="E459" i="3"/>
  <c r="H459" i="3" s="1"/>
  <c r="K459" i="3" l="1"/>
  <c r="AE459" i="3" s="1"/>
  <c r="F459" i="3"/>
  <c r="G459" i="3"/>
  <c r="I459" i="3" l="1"/>
  <c r="J459" i="3"/>
  <c r="AD459" i="3" s="1"/>
  <c r="M459" i="3"/>
  <c r="N459" i="3" s="1"/>
  <c r="V459" i="3"/>
  <c r="A460" i="3"/>
  <c r="B460" i="3" s="1"/>
  <c r="W459" i="3" l="1"/>
  <c r="L459" i="3"/>
  <c r="P460" i="3"/>
  <c r="Q460" i="3" s="1"/>
  <c r="R460" i="3" s="1"/>
  <c r="S460" i="3" s="1"/>
  <c r="Z460" i="3"/>
  <c r="AA460" i="3"/>
  <c r="AC460" i="3"/>
  <c r="U459" i="3" l="1"/>
  <c r="Y458" i="3"/>
  <c r="T460" i="3"/>
  <c r="D460" i="3" l="1"/>
  <c r="G460" i="3" s="1"/>
  <c r="AH460" i="3"/>
  <c r="E460" i="3"/>
  <c r="H460" i="3" s="1"/>
  <c r="AG460" i="3"/>
  <c r="F460" i="3" l="1"/>
  <c r="I460" i="3"/>
  <c r="J460" i="3"/>
  <c r="AD460" i="3" s="1"/>
  <c r="M460" i="3"/>
  <c r="N460" i="3" s="1"/>
  <c r="K460" i="3"/>
  <c r="AE460" i="3" s="1"/>
  <c r="V460" i="3" l="1"/>
  <c r="W460" i="3" s="1"/>
  <c r="A461" i="3"/>
  <c r="B461" i="3" s="1"/>
  <c r="L460" i="3"/>
  <c r="U460" i="3" l="1"/>
  <c r="Y459" i="3"/>
  <c r="AC461" i="3"/>
  <c r="Z461" i="3"/>
  <c r="P461" i="3"/>
  <c r="Q461" i="3" s="1"/>
  <c r="R461" i="3" s="1"/>
  <c r="S461" i="3" s="1"/>
  <c r="AA461" i="3"/>
  <c r="T461" i="3" l="1"/>
  <c r="D461" i="3" s="1"/>
  <c r="AG461" i="3" l="1"/>
  <c r="G461" i="3"/>
  <c r="AH461" i="3"/>
  <c r="E461" i="3"/>
  <c r="H461" i="3" s="1"/>
  <c r="F461" i="3" l="1"/>
  <c r="I461" i="3"/>
  <c r="J461" i="3"/>
  <c r="AD461" i="3" s="1"/>
  <c r="M461" i="3"/>
  <c r="N461" i="3" s="1"/>
  <c r="K461" i="3"/>
  <c r="AE461" i="3" s="1"/>
  <c r="V461" i="3" l="1"/>
  <c r="W461" i="3" s="1"/>
  <c r="A462" i="3"/>
  <c r="B462" i="3" s="1"/>
  <c r="L461" i="3"/>
  <c r="U461" i="3" l="1"/>
  <c r="Y460" i="3"/>
  <c r="Z462" i="3"/>
  <c r="P462" i="3"/>
  <c r="Q462" i="3" s="1"/>
  <c r="R462" i="3" s="1"/>
  <c r="S462" i="3" s="1"/>
  <c r="AA462" i="3"/>
  <c r="AC462" i="3"/>
  <c r="T462" i="3" l="1"/>
  <c r="E462" i="3" s="1"/>
  <c r="H462" i="3" s="1"/>
  <c r="AG462" i="3" l="1"/>
  <c r="AH462" i="3"/>
  <c r="D462" i="3"/>
  <c r="G462" i="3" s="1"/>
  <c r="K462" i="3"/>
  <c r="AE462" i="3" s="1"/>
  <c r="F462" i="3" l="1"/>
  <c r="V462" i="3"/>
  <c r="A463" i="3"/>
  <c r="B463" i="3" s="1"/>
  <c r="I462" i="3"/>
  <c r="J462" i="3"/>
  <c r="AD462" i="3" s="1"/>
  <c r="M462" i="3"/>
  <c r="N462" i="3" s="1"/>
  <c r="W462" i="3" l="1"/>
  <c r="L462" i="3"/>
  <c r="P463" i="3"/>
  <c r="Q463" i="3" s="1"/>
  <c r="R463" i="3" s="1"/>
  <c r="S463" i="3" s="1"/>
  <c r="AC463" i="3"/>
  <c r="Z463" i="3"/>
  <c r="AA463" i="3"/>
  <c r="U462" i="3" l="1"/>
  <c r="Y461" i="3"/>
  <c r="T463" i="3"/>
  <c r="AH463" i="3" s="1"/>
  <c r="AG463" i="3" l="1"/>
  <c r="D463" i="3"/>
  <c r="E463" i="3"/>
  <c r="H463" i="3" s="1"/>
  <c r="F463" i="3" l="1"/>
  <c r="G463" i="3"/>
  <c r="K463" i="3"/>
  <c r="AE463" i="3" s="1"/>
  <c r="V463" i="3" l="1"/>
  <c r="A464" i="3"/>
  <c r="B464" i="3" s="1"/>
  <c r="I463" i="3"/>
  <c r="J463" i="3"/>
  <c r="AD463" i="3" s="1"/>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T465" i="3" l="1"/>
  <c r="AH465" i="3" s="1"/>
  <c r="U464" i="3"/>
  <c r="Y463" i="3"/>
  <c r="D465" i="3" l="1"/>
  <c r="G465" i="3" s="1"/>
  <c r="E465" i="3"/>
  <c r="H465" i="3" s="1"/>
  <c r="AG465" i="3"/>
  <c r="F465" i="3" l="1"/>
  <c r="I465" i="3"/>
  <c r="J465" i="3"/>
  <c r="AD465" i="3" s="1"/>
  <c r="M465" i="3"/>
  <c r="N465" i="3" s="1"/>
  <c r="K465" i="3"/>
  <c r="AE465" i="3" s="1"/>
  <c r="V465" i="3" l="1"/>
  <c r="W465" i="3" s="1"/>
  <c r="A466" i="3"/>
  <c r="B466" i="3" s="1"/>
  <c r="L465" i="3"/>
  <c r="U465" i="3" l="1"/>
  <c r="Y464" i="3"/>
  <c r="AA466" i="3"/>
  <c r="AC466" i="3"/>
  <c r="Z466" i="3"/>
  <c r="P466" i="3"/>
  <c r="Q466" i="3" s="1"/>
  <c r="R466" i="3" s="1"/>
  <c r="S466" i="3" s="1"/>
  <c r="T466" i="3" l="1"/>
  <c r="AH466" i="3" s="1"/>
  <c r="AG466" i="3" l="1"/>
  <c r="E466" i="3"/>
  <c r="H466" i="3" s="1"/>
  <c r="K466" i="3" s="1"/>
  <c r="AE466" i="3" s="1"/>
  <c r="D466" i="3"/>
  <c r="G466" i="3" s="1"/>
  <c r="F466" i="3" l="1"/>
  <c r="I466" i="3"/>
  <c r="J466" i="3"/>
  <c r="AD466" i="3" s="1"/>
  <c r="M466" i="3"/>
  <c r="N466" i="3" s="1"/>
  <c r="V466" i="3"/>
  <c r="A467" i="3"/>
  <c r="B467" i="3" s="1"/>
  <c r="W466" i="3" l="1"/>
  <c r="L466" i="3"/>
  <c r="P467" i="3"/>
  <c r="Q467" i="3" s="1"/>
  <c r="R467" i="3" s="1"/>
  <c r="S467" i="3" s="1"/>
  <c r="AA467" i="3"/>
  <c r="Z467" i="3"/>
  <c r="AC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I467" i="3"/>
  <c r="W467" i="3" s="1"/>
  <c r="J467" i="3"/>
  <c r="AD467" i="3" s="1"/>
  <c r="M467" i="3"/>
  <c r="N467" i="3" s="1"/>
  <c r="L467" i="3" l="1"/>
  <c r="T468" i="3"/>
  <c r="U467" i="3" l="1"/>
  <c r="D468" i="3" s="1"/>
  <c r="AH468" i="3"/>
  <c r="AG468" i="3"/>
  <c r="Y466" i="3"/>
  <c r="E468" i="3" l="1"/>
  <c r="H468" i="3" s="1"/>
  <c r="K468" i="3" s="1"/>
  <c r="AE468" i="3" s="1"/>
  <c r="G468" i="3"/>
  <c r="F468" i="3" l="1"/>
  <c r="I468" i="3"/>
  <c r="J468" i="3"/>
  <c r="AD468" i="3" s="1"/>
  <c r="M468" i="3"/>
  <c r="N468" i="3" s="1"/>
  <c r="V468" i="3"/>
  <c r="A469" i="3"/>
  <c r="B469" i="3" s="1"/>
  <c r="W468" i="3" l="1"/>
  <c r="L468" i="3"/>
  <c r="AA469" i="3"/>
  <c r="P469" i="3"/>
  <c r="Q469" i="3" s="1"/>
  <c r="R469" i="3" s="1"/>
  <c r="S469" i="3" s="1"/>
  <c r="Z469" i="3"/>
  <c r="AC469" i="3"/>
  <c r="U468" i="3" l="1"/>
  <c r="Y467" i="3"/>
  <c r="T469" i="3"/>
  <c r="AG469" i="3" s="1"/>
  <c r="D469" i="3" l="1"/>
  <c r="G469" i="3" s="1"/>
  <c r="AH469" i="3"/>
  <c r="E469" i="3"/>
  <c r="H469" i="3" s="1"/>
  <c r="K469" i="3" s="1"/>
  <c r="AE469" i="3" s="1"/>
  <c r="F469" i="3" l="1"/>
  <c r="I469" i="3"/>
  <c r="J469" i="3"/>
  <c r="AD469" i="3" s="1"/>
  <c r="M469" i="3"/>
  <c r="N469" i="3" s="1"/>
  <c r="V469" i="3"/>
  <c r="A470" i="3"/>
  <c r="B470" i="3" s="1"/>
  <c r="W469" i="3" l="1"/>
  <c r="L469" i="3"/>
  <c r="AC470" i="3"/>
  <c r="P470" i="3"/>
  <c r="Q470" i="3" s="1"/>
  <c r="R470" i="3" s="1"/>
  <c r="S470" i="3" s="1"/>
  <c r="AA470" i="3"/>
  <c r="Z470" i="3"/>
  <c r="U469" i="3" l="1"/>
  <c r="Y468" i="3"/>
  <c r="T470" i="3"/>
  <c r="D470" i="3" l="1"/>
  <c r="G470" i="3" s="1"/>
  <c r="AH470" i="3"/>
  <c r="AG470" i="3"/>
  <c r="E470" i="3"/>
  <c r="H470" i="3" s="1"/>
  <c r="K470" i="3" l="1"/>
  <c r="AE470" i="3" s="1"/>
  <c r="F470" i="3"/>
  <c r="I470" i="3"/>
  <c r="J470" i="3"/>
  <c r="AD470" i="3" s="1"/>
  <c r="M470" i="3"/>
  <c r="N470" i="3" s="1"/>
  <c r="V470" i="3" l="1"/>
  <c r="W470" i="3" s="1"/>
  <c r="A471" i="3"/>
  <c r="B471" i="3" s="1"/>
  <c r="L470" i="3"/>
  <c r="U470" i="3" l="1"/>
  <c r="Y469" i="3"/>
  <c r="Z471" i="3"/>
  <c r="AA471" i="3"/>
  <c r="AC471" i="3"/>
  <c r="P471" i="3"/>
  <c r="Q471" i="3" s="1"/>
  <c r="R471" i="3" s="1"/>
  <c r="S471" i="3" s="1"/>
  <c r="T471" i="3" l="1"/>
  <c r="AH471" i="3" s="1"/>
  <c r="AG471" i="3" l="1"/>
  <c r="E471" i="3"/>
  <c r="H471" i="3" s="1"/>
  <c r="D471" i="3"/>
  <c r="F471" i="3" l="1"/>
  <c r="G471" i="3"/>
  <c r="K471" i="3"/>
  <c r="AE471" i="3" s="1"/>
  <c r="V471" i="3" l="1"/>
  <c r="A472" i="3"/>
  <c r="B472" i="3" s="1"/>
  <c r="I471" i="3"/>
  <c r="J471" i="3"/>
  <c r="AD471" i="3" s="1"/>
  <c r="M471" i="3"/>
  <c r="N471" i="3" s="1"/>
  <c r="W471" i="3" l="1"/>
  <c r="L471" i="3"/>
  <c r="Z472" i="3"/>
  <c r="AA472" i="3"/>
  <c r="P472" i="3"/>
  <c r="Q472" i="3" s="1"/>
  <c r="R472" i="3" s="1"/>
  <c r="S472" i="3" s="1"/>
  <c r="AC472" i="3"/>
  <c r="U471" i="3" l="1"/>
  <c r="Y470" i="3"/>
  <c r="T472" i="3"/>
  <c r="E472" i="3" l="1"/>
  <c r="H472" i="3" s="1"/>
  <c r="K472" i="3" s="1"/>
  <c r="AE472" i="3" s="1"/>
  <c r="AG472" i="3"/>
  <c r="AH472" i="3"/>
  <c r="D472" i="3"/>
  <c r="V472" i="3" l="1"/>
  <c r="A473" i="3"/>
  <c r="B473" i="3" s="1"/>
  <c r="F472" i="3"/>
  <c r="G472" i="3"/>
  <c r="I472" i="3" l="1"/>
  <c r="W472" i="3" s="1"/>
  <c r="J472" i="3"/>
  <c r="AD472" i="3" s="1"/>
  <c r="M472" i="3"/>
  <c r="N472" i="3" s="1"/>
  <c r="AC473" i="3"/>
  <c r="P473" i="3"/>
  <c r="Q473" i="3" s="1"/>
  <c r="R473" i="3" s="1"/>
  <c r="S473" i="3" s="1"/>
  <c r="Z473" i="3"/>
  <c r="AA473" i="3"/>
  <c r="L472" i="3" l="1"/>
  <c r="T473" i="3"/>
  <c r="U472" i="3" l="1"/>
  <c r="D473" i="3" s="1"/>
  <c r="AH473" i="3"/>
  <c r="AG473" i="3"/>
  <c r="Y471" i="3"/>
  <c r="G473" i="3" l="1"/>
  <c r="E473" i="3"/>
  <c r="H473" i="3" s="1"/>
  <c r="F473" i="3" l="1"/>
  <c r="I473" i="3"/>
  <c r="J473" i="3"/>
  <c r="AD473" i="3" s="1"/>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C477" i="3"/>
  <c r="Z477" i="3"/>
  <c r="U476" i="3" l="1"/>
  <c r="Y475" i="3"/>
  <c r="T477" i="3"/>
  <c r="D477" i="3" l="1"/>
  <c r="G477" i="3" s="1"/>
  <c r="AG477" i="3"/>
  <c r="E477" i="3"/>
  <c r="H477" i="3" s="1"/>
  <c r="K477" i="3" s="1"/>
  <c r="AE477" i="3" s="1"/>
  <c r="AH477" i="3"/>
  <c r="F477" i="3" l="1"/>
  <c r="V477" i="3"/>
  <c r="A478" i="3"/>
  <c r="B478" i="3" s="1"/>
  <c r="I477" i="3"/>
  <c r="J477" i="3"/>
  <c r="AD477" i="3" s="1"/>
  <c r="M477" i="3"/>
  <c r="N477" i="3" s="1"/>
  <c r="W477" i="3" l="1"/>
  <c r="L477" i="3"/>
  <c r="AA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AD478" i="3" s="1"/>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Z482" i="3"/>
  <c r="T482" i="3" l="1"/>
  <c r="D482" i="3" s="1"/>
  <c r="AG482" i="3" l="1"/>
  <c r="G482" i="3"/>
  <c r="AH482" i="3"/>
  <c r="E482" i="3"/>
  <c r="H482" i="3" s="1"/>
  <c r="F482" i="3" l="1"/>
  <c r="I482" i="3"/>
  <c r="J482" i="3"/>
  <c r="AD482" i="3" s="1"/>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AD487" i="3" s="1"/>
  <c r="M487" i="3"/>
  <c r="N487" i="3" s="1"/>
  <c r="AA488" i="3"/>
  <c r="Z488" i="3"/>
  <c r="P488" i="3"/>
  <c r="Q488" i="3" s="1"/>
  <c r="R488" i="3" s="1"/>
  <c r="S488" i="3" s="1"/>
  <c r="AC488" i="3"/>
  <c r="L487" i="3" l="1"/>
  <c r="T488" i="3"/>
  <c r="U487" i="3" l="1"/>
  <c r="D488" i="3" s="1"/>
  <c r="AG488" i="3"/>
  <c r="AH488" i="3"/>
  <c r="Y486" i="3"/>
  <c r="E488" i="3" l="1"/>
  <c r="H488" i="3" s="1"/>
  <c r="K488" i="3" s="1"/>
  <c r="AE488" i="3" s="1"/>
  <c r="G488" i="3"/>
  <c r="F488" i="3" l="1"/>
  <c r="I488" i="3"/>
  <c r="J488" i="3"/>
  <c r="AD488" i="3" s="1"/>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T492" i="3" l="1"/>
  <c r="U491" i="3"/>
  <c r="Y490" i="3"/>
  <c r="D492" i="3" l="1"/>
  <c r="G492" i="3" s="1"/>
  <c r="AH492" i="3"/>
  <c r="AG492" i="3"/>
  <c r="E492" i="3"/>
  <c r="H492" i="3" s="1"/>
  <c r="F492" i="3" l="1"/>
  <c r="I492" i="3"/>
  <c r="J492" i="3"/>
  <c r="AD492" i="3" s="1"/>
  <c r="M492" i="3"/>
  <c r="N492" i="3" s="1"/>
  <c r="K492" i="3"/>
  <c r="AE492" i="3" s="1"/>
  <c r="L492" i="3" l="1"/>
  <c r="V492" i="3"/>
  <c r="W492" i="3" s="1"/>
  <c r="A493" i="3"/>
  <c r="B493" i="3" s="1"/>
  <c r="U492" i="3" l="1"/>
  <c r="Y491" i="3"/>
  <c r="P493" i="3"/>
  <c r="Q493" i="3" s="1"/>
  <c r="R493" i="3" s="1"/>
  <c r="S493" i="3" s="1"/>
  <c r="AC493" i="3"/>
  <c r="AA493" i="3"/>
  <c r="Z493" i="3"/>
  <c r="T493" i="3" l="1"/>
  <c r="AH493" i="3" s="1"/>
  <c r="AG493" i="3" l="1"/>
  <c r="E493" i="3"/>
  <c r="H493" i="3" s="1"/>
  <c r="K493" i="3" s="1"/>
  <c r="AE493" i="3" s="1"/>
  <c r="D493" i="3"/>
  <c r="F493" i="3" l="1"/>
  <c r="G493" i="3"/>
  <c r="J493" i="3" s="1"/>
  <c r="AD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AD495" i="3" s="1"/>
  <c r="M495" i="3"/>
  <c r="N495" i="3" s="1"/>
  <c r="W495" i="3" l="1"/>
  <c r="L495"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AD496" i="3" s="1"/>
  <c r="M496" i="3"/>
  <c r="N496" i="3" s="1"/>
  <c r="W496" i="3" l="1"/>
  <c r="L496" i="3"/>
  <c r="P497" i="3"/>
  <c r="Q497" i="3" s="1"/>
  <c r="R497" i="3" s="1"/>
  <c r="S497" i="3" s="1"/>
  <c r="AC497" i="3"/>
  <c r="AA497" i="3"/>
  <c r="Z497" i="3"/>
  <c r="U496" i="3" l="1"/>
  <c r="Y495" i="3"/>
  <c r="T497" i="3"/>
  <c r="AG497" i="3" s="1"/>
  <c r="E497" i="3" l="1"/>
  <c r="H497" i="3" s="1"/>
  <c r="D497" i="3"/>
  <c r="AH497" i="3"/>
  <c r="F497" i="3" l="1"/>
  <c r="G497" i="3"/>
  <c r="K497" i="3"/>
  <c r="AE497" i="3" s="1"/>
  <c r="I497" i="3" l="1"/>
  <c r="J497" i="3"/>
  <c r="AD497" i="3" s="1"/>
  <c r="M497" i="3"/>
  <c r="N497" i="3" s="1"/>
  <c r="V497" i="3"/>
  <c r="A498" i="3"/>
  <c r="B498" i="3" s="1"/>
  <c r="W497" i="3" l="1"/>
  <c r="L497" i="3"/>
  <c r="Z498" i="3"/>
  <c r="AC498" i="3"/>
  <c r="AA498" i="3"/>
  <c r="P498" i="3"/>
  <c r="Q498" i="3" s="1"/>
  <c r="R498" i="3" s="1"/>
  <c r="S498" i="3" s="1"/>
  <c r="U497" i="3" l="1"/>
  <c r="Y496" i="3"/>
  <c r="T498" i="3"/>
  <c r="AH498" i="3" s="1"/>
  <c r="AG498" i="3" l="1"/>
  <c r="D498" i="3"/>
  <c r="E498" i="3"/>
  <c r="H498" i="3" s="1"/>
  <c r="F498" i="3" l="1"/>
  <c r="G498" i="3"/>
  <c r="K498" i="3"/>
  <c r="AE498" i="3" s="1"/>
  <c r="I498" i="3" l="1"/>
  <c r="J498" i="3"/>
  <c r="AD498" i="3" s="1"/>
  <c r="M498" i="3"/>
  <c r="N498" i="3" s="1"/>
  <c r="V498" i="3"/>
  <c r="A499" i="3"/>
  <c r="B499" i="3" s="1"/>
  <c r="W498" i="3" l="1"/>
  <c r="L498" i="3"/>
  <c r="AC499" i="3"/>
  <c r="P499" i="3"/>
  <c r="Q499" i="3" s="1"/>
  <c r="R499" i="3" s="1"/>
  <c r="S499" i="3" s="1"/>
  <c r="AA499" i="3"/>
  <c r="Z499" i="3"/>
  <c r="T499" i="3" l="1"/>
  <c r="U498" i="3"/>
  <c r="Y497" i="3"/>
  <c r="D499" i="3" l="1"/>
  <c r="G499" i="3" s="1"/>
  <c r="AH499" i="3"/>
  <c r="E499" i="3"/>
  <c r="H499" i="3" s="1"/>
  <c r="AG499" i="3"/>
  <c r="F499" i="3" l="1"/>
  <c r="I499" i="3"/>
  <c r="J499" i="3"/>
  <c r="AD499" i="3" s="1"/>
  <c r="M499" i="3"/>
  <c r="N499" i="3" s="1"/>
  <c r="K499" i="3"/>
  <c r="AE499" i="3" s="1"/>
  <c r="V499" i="3" l="1"/>
  <c r="W499" i="3" s="1"/>
  <c r="A500" i="3"/>
  <c r="B500" i="3" s="1"/>
  <c r="L499" i="3"/>
  <c r="U499" i="3" l="1"/>
  <c r="Y498" i="3"/>
  <c r="AA500" i="3"/>
  <c r="AC500" i="3"/>
  <c r="P500" i="3"/>
  <c r="Q500" i="3" s="1"/>
  <c r="R500" i="3" s="1"/>
  <c r="S500" i="3" s="1"/>
  <c r="Z500" i="3"/>
  <c r="T500" i="3" l="1"/>
  <c r="AH500" i="3" s="1"/>
  <c r="D500" i="3" l="1"/>
  <c r="AG500" i="3"/>
  <c r="E500" i="3"/>
  <c r="H500" i="3" s="1"/>
  <c r="F500" i="3" l="1"/>
  <c r="G500" i="3"/>
  <c r="K500" i="3"/>
  <c r="AE500" i="3" s="1"/>
  <c r="I500" i="3" l="1"/>
  <c r="J500" i="3"/>
  <c r="AD500" i="3" s="1"/>
  <c r="M500" i="3"/>
  <c r="N500" i="3" s="1"/>
  <c r="V500" i="3"/>
  <c r="A501" i="3"/>
  <c r="B501" i="3" s="1"/>
  <c r="W500" i="3" l="1"/>
  <c r="L500" i="3"/>
  <c r="P501" i="3"/>
  <c r="Q501" i="3" s="1"/>
  <c r="R501" i="3" s="1"/>
  <c r="S501" i="3" s="1"/>
  <c r="AC501" i="3"/>
  <c r="Z501" i="3"/>
  <c r="AA501" i="3"/>
  <c r="U500" i="3" l="1"/>
  <c r="Y499" i="3"/>
  <c r="T501" i="3"/>
  <c r="D501" i="3" l="1"/>
  <c r="G501" i="3" s="1"/>
  <c r="E501" i="3"/>
  <c r="H501" i="3" s="1"/>
  <c r="K501" i="3" s="1"/>
  <c r="AE501" i="3" s="1"/>
  <c r="AG501" i="3"/>
  <c r="AH501" i="3"/>
  <c r="F501" i="3" l="1"/>
  <c r="I501" i="3"/>
  <c r="J501" i="3"/>
  <c r="AD501" i="3" s="1"/>
  <c r="M501" i="3"/>
  <c r="N501" i="3" s="1"/>
  <c r="V501" i="3"/>
  <c r="A502" i="3"/>
  <c r="B502" i="3" s="1"/>
  <c r="L501" i="3" l="1"/>
  <c r="W501" i="3"/>
  <c r="Z502" i="3"/>
  <c r="AA502" i="3"/>
  <c r="AC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AD502" i="3" s="1"/>
  <c r="M502" i="3"/>
  <c r="N502" i="3" s="1"/>
  <c r="AA503" i="3"/>
  <c r="P503" i="3"/>
  <c r="Q503" i="3" s="1"/>
  <c r="R503" i="3" s="1"/>
  <c r="S503" i="3" s="1"/>
  <c r="AC503" i="3"/>
  <c r="Z503" i="3"/>
  <c r="T503" i="3" l="1"/>
  <c r="L502" i="3"/>
  <c r="AG503" i="3" l="1"/>
  <c r="AH503" i="3"/>
  <c r="U502" i="3"/>
  <c r="E503" i="3" s="1"/>
  <c r="H503" i="3" s="1"/>
  <c r="Y501" i="3"/>
  <c r="D503" i="3" l="1"/>
  <c r="G503" i="3" s="1"/>
  <c r="K503" i="3"/>
  <c r="AE503" i="3" s="1"/>
  <c r="F503" i="3" l="1"/>
  <c r="V503" i="3"/>
  <c r="A504" i="3"/>
  <c r="B504" i="3" s="1"/>
  <c r="I503" i="3"/>
  <c r="J503" i="3"/>
  <c r="AD503" i="3" s="1"/>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A505" i="3"/>
  <c r="L504" i="3" l="1"/>
  <c r="Y503" i="3" s="1"/>
  <c r="AD504" i="3"/>
  <c r="T505" i="3"/>
  <c r="AH505" i="3" l="1"/>
  <c r="U504" i="3"/>
  <c r="D505" i="3" s="1"/>
  <c r="G505" i="3" s="1"/>
  <c r="AG505" i="3"/>
  <c r="E505" i="3" l="1"/>
  <c r="H505" i="3" s="1"/>
  <c r="K505" i="3" s="1"/>
  <c r="AE505" i="3" s="1"/>
  <c r="J505" i="3"/>
  <c r="AD505" i="3" s="1"/>
  <c r="I505" i="3" l="1"/>
  <c r="F505" i="3"/>
  <c r="V505" i="3"/>
  <c r="M505" i="3"/>
  <c r="N505" i="3" s="1"/>
  <c r="A506" i="3"/>
  <c r="B506" i="3" s="1"/>
  <c r="P506" i="3" s="1"/>
  <c r="Q506" i="3" s="1"/>
  <c r="R506" i="3" s="1"/>
  <c r="S506" i="3" s="1"/>
  <c r="L505" i="3"/>
  <c r="W505" i="3" l="1"/>
  <c r="AA506" i="3"/>
  <c r="AC506" i="3"/>
  <c r="Z506" i="3"/>
  <c r="U505" i="3"/>
  <c r="Y504" i="3"/>
  <c r="T506" i="3"/>
  <c r="AG506" i="3" l="1"/>
  <c r="D506" i="3"/>
  <c r="G506" i="3" s="1"/>
  <c r="AH506" i="3"/>
  <c r="E506" i="3"/>
  <c r="H506" i="3" s="1"/>
  <c r="K506" i="3" s="1"/>
  <c r="AE506" i="3" s="1"/>
  <c r="F506" i="3" l="1"/>
  <c r="I506" i="3"/>
  <c r="J506" i="3"/>
  <c r="AD506" i="3" s="1"/>
  <c r="M506" i="3"/>
  <c r="N506" i="3" s="1"/>
  <c r="V506" i="3"/>
  <c r="A507" i="3"/>
  <c r="B507" i="3" s="1"/>
  <c r="W506" i="3" l="1"/>
  <c r="L506" i="3"/>
  <c r="AC507" i="3"/>
  <c r="P507" i="3"/>
  <c r="Q507" i="3" s="1"/>
  <c r="R507" i="3" s="1"/>
  <c r="S507" i="3" s="1"/>
  <c r="AA507" i="3"/>
  <c r="Z507" i="3"/>
  <c r="U506" i="3" l="1"/>
  <c r="Y505" i="3"/>
  <c r="T507" i="3"/>
  <c r="AH507" i="3" s="1"/>
  <c r="AG507" i="3" l="1"/>
  <c r="E507" i="3"/>
  <c r="H507" i="3" s="1"/>
  <c r="D507" i="3"/>
  <c r="K507" i="3" l="1"/>
  <c r="AE507" i="3" s="1"/>
  <c r="F507" i="3"/>
  <c r="G507" i="3"/>
  <c r="I507" i="3" l="1"/>
  <c r="J507" i="3"/>
  <c r="AD507" i="3" s="1"/>
  <c r="M507" i="3"/>
  <c r="N507" i="3" s="1"/>
  <c r="V507" i="3"/>
  <c r="A508" i="3"/>
  <c r="B508" i="3" s="1"/>
  <c r="W507" i="3" l="1"/>
  <c r="L507" i="3"/>
  <c r="P508" i="3"/>
  <c r="Q508" i="3" s="1"/>
  <c r="R508" i="3" s="1"/>
  <c r="S508" i="3" s="1"/>
  <c r="AA508" i="3"/>
  <c r="Z508" i="3"/>
  <c r="AC508" i="3"/>
  <c r="U507" i="3" l="1"/>
  <c r="Y506" i="3"/>
  <c r="T508" i="3"/>
  <c r="E508" i="3" l="1"/>
  <c r="H508" i="3" s="1"/>
  <c r="K508" i="3" s="1"/>
  <c r="AE508" i="3" s="1"/>
  <c r="AH508" i="3"/>
  <c r="D508" i="3"/>
  <c r="AG508" i="3"/>
  <c r="F508" i="3" l="1"/>
  <c r="G508" i="3"/>
  <c r="V508" i="3"/>
  <c r="A509" i="3"/>
  <c r="B509" i="3" s="1"/>
  <c r="AC509" i="3" l="1"/>
  <c r="Z509" i="3"/>
  <c r="AA509" i="3"/>
  <c r="P509" i="3"/>
  <c r="Q509" i="3" s="1"/>
  <c r="R509" i="3" s="1"/>
  <c r="S509" i="3" s="1"/>
  <c r="I508" i="3"/>
  <c r="W508" i="3" s="1"/>
  <c r="J508" i="3"/>
  <c r="AD508" i="3" s="1"/>
  <c r="M508" i="3"/>
  <c r="N508" i="3" s="1"/>
  <c r="L508" i="3" l="1"/>
  <c r="T509" i="3"/>
  <c r="AG509" i="3" l="1"/>
  <c r="AH509" i="3"/>
  <c r="U508" i="3"/>
  <c r="D509" i="3" s="1"/>
  <c r="Y507" i="3"/>
  <c r="G509" i="3" l="1"/>
  <c r="E509" i="3"/>
  <c r="H509" i="3" s="1"/>
  <c r="F509" i="3" l="1"/>
  <c r="I509" i="3"/>
  <c r="J509" i="3"/>
  <c r="AD509" i="3" s="1"/>
  <c r="M509" i="3"/>
  <c r="N509" i="3" s="1"/>
  <c r="K509" i="3"/>
  <c r="AE509" i="3" s="1"/>
  <c r="V509" i="3" l="1"/>
  <c r="W509" i="3" s="1"/>
  <c r="A510" i="3"/>
  <c r="B510" i="3" s="1"/>
  <c r="L509" i="3"/>
  <c r="U509" i="3" l="1"/>
  <c r="Y508" i="3"/>
  <c r="AC510" i="3"/>
  <c r="Z510" i="3"/>
  <c r="AA510" i="3"/>
  <c r="P510" i="3"/>
  <c r="Q510" i="3" s="1"/>
  <c r="R510" i="3" s="1"/>
  <c r="S510" i="3" s="1"/>
  <c r="T510" i="3" l="1"/>
  <c r="AH510" i="3" l="1"/>
  <c r="E510" i="3"/>
  <c r="H510" i="3" s="1"/>
  <c r="D510" i="3"/>
  <c r="AG510" i="3"/>
  <c r="F510" i="3" l="1"/>
  <c r="G510" i="3"/>
  <c r="K510" i="3"/>
  <c r="AE510" i="3" s="1"/>
  <c r="V510" i="3" l="1"/>
  <c r="A511" i="3"/>
  <c r="B511" i="3" s="1"/>
  <c r="I510" i="3"/>
  <c r="J510" i="3"/>
  <c r="AD510" i="3" s="1"/>
  <c r="M510" i="3"/>
  <c r="N510" i="3" s="1"/>
  <c r="L510" i="3" l="1"/>
  <c r="AA511" i="3"/>
  <c r="AC511" i="3"/>
  <c r="P511" i="3"/>
  <c r="Q511" i="3" s="1"/>
  <c r="R511" i="3" s="1"/>
  <c r="S511" i="3" s="1"/>
  <c r="Z511" i="3"/>
  <c r="W510" i="3"/>
  <c r="U510" i="3" l="1"/>
  <c r="Y509" i="3"/>
  <c r="T511" i="3"/>
  <c r="AG511" i="3" s="1"/>
  <c r="AH511" i="3" l="1"/>
  <c r="D511" i="3"/>
  <c r="E511" i="3"/>
  <c r="H511" i="3" s="1"/>
  <c r="F511" i="3" l="1"/>
  <c r="G511" i="3"/>
  <c r="K511" i="3"/>
  <c r="AE511" i="3" s="1"/>
  <c r="V511" i="3" l="1"/>
  <c r="A512" i="3"/>
  <c r="B512" i="3" s="1"/>
  <c r="I511" i="3"/>
  <c r="J511" i="3"/>
  <c r="AD511" i="3" s="1"/>
  <c r="M511" i="3"/>
  <c r="N511" i="3" s="1"/>
  <c r="W511" i="3" l="1"/>
  <c r="L511" i="3"/>
  <c r="AC512" i="3"/>
  <c r="Z512" i="3"/>
  <c r="AA512" i="3"/>
  <c r="P512" i="3"/>
  <c r="Q512" i="3" s="1"/>
  <c r="R512" i="3" s="1"/>
  <c r="S512" i="3" s="1"/>
  <c r="T512" i="3" l="1"/>
  <c r="U511" i="3"/>
  <c r="Y510" i="3"/>
  <c r="D512" i="3" l="1"/>
  <c r="G512" i="3" s="1"/>
  <c r="AH512" i="3"/>
  <c r="E512" i="3"/>
  <c r="H512" i="3" s="1"/>
  <c r="K512" i="3" s="1"/>
  <c r="AE512" i="3" s="1"/>
  <c r="AG512" i="3"/>
  <c r="F512" i="3" l="1"/>
  <c r="I512" i="3"/>
  <c r="J512" i="3"/>
  <c r="AD512" i="3" s="1"/>
  <c r="M512" i="3"/>
  <c r="N512" i="3" s="1"/>
  <c r="V512" i="3"/>
  <c r="A513" i="3"/>
  <c r="B513" i="3" s="1"/>
  <c r="W512" i="3" l="1"/>
  <c r="L512" i="3"/>
  <c r="AA513" i="3"/>
  <c r="P513" i="3"/>
  <c r="Q513" i="3" s="1"/>
  <c r="R513" i="3" s="1"/>
  <c r="S513" i="3" s="1"/>
  <c r="AC513" i="3"/>
  <c r="Z513" i="3"/>
  <c r="T513" i="3" l="1"/>
  <c r="AG513" i="3" s="1"/>
  <c r="U512" i="3"/>
  <c r="Y511" i="3"/>
  <c r="AH513" i="3" l="1"/>
  <c r="E513" i="3"/>
  <c r="H513" i="3" s="1"/>
  <c r="D513" i="3"/>
  <c r="F513" i="3" l="1"/>
  <c r="G513" i="3"/>
  <c r="K513" i="3"/>
  <c r="AE513" i="3" s="1"/>
  <c r="V513" i="3" l="1"/>
  <c r="A514" i="3"/>
  <c r="B514" i="3" s="1"/>
  <c r="I513" i="3"/>
  <c r="J513" i="3"/>
  <c r="AD513" i="3" s="1"/>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P515" i="3"/>
  <c r="Q515" i="3" s="1"/>
  <c r="R515" i="3" s="1"/>
  <c r="S515" i="3" s="1"/>
  <c r="AC515" i="3"/>
  <c r="Z515" i="3"/>
  <c r="AA515" i="3"/>
  <c r="U514" i="3" l="1"/>
  <c r="Y513" i="3"/>
  <c r="T515" i="3"/>
  <c r="D515" i="3" l="1"/>
  <c r="G515" i="3" s="1"/>
  <c r="AG515" i="3"/>
  <c r="AH515" i="3"/>
  <c r="E515" i="3"/>
  <c r="H515" i="3" s="1"/>
  <c r="K515" i="3" l="1"/>
  <c r="AE515" i="3" s="1"/>
  <c r="I515" i="3"/>
  <c r="J515" i="3"/>
  <c r="AD515" i="3" s="1"/>
  <c r="M515" i="3"/>
  <c r="N515" i="3" s="1"/>
  <c r="F515" i="3"/>
  <c r="L515" i="3" l="1"/>
  <c r="V515" i="3"/>
  <c r="W515" i="3" s="1"/>
  <c r="A516" i="3"/>
  <c r="B516" i="3" s="1"/>
  <c r="U515" i="3" l="1"/>
  <c r="Y514" i="3"/>
  <c r="AA516" i="3"/>
  <c r="Z516" i="3"/>
  <c r="AC516" i="3"/>
  <c r="P516" i="3"/>
  <c r="Q516" i="3" s="1"/>
  <c r="R516" i="3" s="1"/>
  <c r="S516" i="3" s="1"/>
  <c r="T516" i="3" l="1"/>
  <c r="AG516" i="3" s="1"/>
  <c r="D516" i="3" l="1"/>
  <c r="AH516" i="3"/>
  <c r="E516" i="3"/>
  <c r="H516" i="3" s="1"/>
  <c r="F516" i="3" l="1"/>
  <c r="G516" i="3"/>
  <c r="K516" i="3"/>
  <c r="AE516" i="3" s="1"/>
  <c r="I516" i="3" l="1"/>
  <c r="J516" i="3"/>
  <c r="AD516" i="3" s="1"/>
  <c r="M516" i="3"/>
  <c r="N516" i="3" s="1"/>
  <c r="V516" i="3"/>
  <c r="A517" i="3"/>
  <c r="B517" i="3" s="1"/>
  <c r="W516" i="3" l="1"/>
  <c r="L516" i="3"/>
  <c r="AC517" i="3"/>
  <c r="P517" i="3"/>
  <c r="Q517" i="3" s="1"/>
  <c r="R517" i="3" s="1"/>
  <c r="S517" i="3" s="1"/>
  <c r="AA517" i="3"/>
  <c r="Z517" i="3"/>
  <c r="U516" i="3" l="1"/>
  <c r="Y515" i="3"/>
  <c r="T517" i="3"/>
  <c r="AG517" i="3" s="1"/>
  <c r="D517" i="3" l="1"/>
  <c r="G517" i="3" s="1"/>
  <c r="AH517" i="3"/>
  <c r="E517" i="3"/>
  <c r="H517" i="3" s="1"/>
  <c r="K517" i="3" s="1"/>
  <c r="AE517" i="3" s="1"/>
  <c r="F517" i="3" l="1"/>
  <c r="I517" i="3"/>
  <c r="J517" i="3"/>
  <c r="AD517" i="3" s="1"/>
  <c r="M517" i="3"/>
  <c r="N517" i="3" s="1"/>
  <c r="V517" i="3"/>
  <c r="A518" i="3"/>
  <c r="B518" i="3" s="1"/>
  <c r="W517" i="3" l="1"/>
  <c r="L517" i="3"/>
  <c r="AA518" i="3"/>
  <c r="AC518" i="3"/>
  <c r="Z518" i="3"/>
  <c r="P518" i="3"/>
  <c r="Q518" i="3" s="1"/>
  <c r="R518" i="3" s="1"/>
  <c r="S518" i="3" s="1"/>
  <c r="U517" i="3" l="1"/>
  <c r="Y516" i="3"/>
  <c r="T518" i="3"/>
  <c r="D518" i="3" l="1"/>
  <c r="G518" i="3" s="1"/>
  <c r="E518" i="3"/>
  <c r="H518" i="3" s="1"/>
  <c r="AH518" i="3"/>
  <c r="AG518" i="3"/>
  <c r="F518" i="3" l="1"/>
  <c r="I518" i="3"/>
  <c r="J518" i="3"/>
  <c r="AD518" i="3" s="1"/>
  <c r="M518" i="3"/>
  <c r="N518" i="3" s="1"/>
  <c r="K518" i="3"/>
  <c r="AE518" i="3" s="1"/>
  <c r="V518" i="3" l="1"/>
  <c r="W518" i="3" s="1"/>
  <c r="A519" i="3"/>
  <c r="B519" i="3" s="1"/>
  <c r="L518" i="3"/>
  <c r="U518" i="3" l="1"/>
  <c r="Y517" i="3"/>
  <c r="AA519" i="3"/>
  <c r="Z519" i="3"/>
  <c r="AC519" i="3"/>
  <c r="P519" i="3"/>
  <c r="Q519" i="3" s="1"/>
  <c r="R519" i="3" s="1"/>
  <c r="S519" i="3" s="1"/>
  <c r="T519" i="3" l="1"/>
  <c r="D519" i="3" s="1"/>
  <c r="AG519" i="3" l="1"/>
  <c r="G519" i="3"/>
  <c r="AH519" i="3"/>
  <c r="E519" i="3"/>
  <c r="H519" i="3" s="1"/>
  <c r="F519" i="3" l="1"/>
  <c r="I519" i="3"/>
  <c r="J519" i="3"/>
  <c r="AD519" i="3" s="1"/>
  <c r="M519" i="3"/>
  <c r="N519" i="3" s="1"/>
  <c r="K519" i="3"/>
  <c r="AE519" i="3" s="1"/>
  <c r="V519" i="3" l="1"/>
  <c r="W519" i="3" s="1"/>
  <c r="A520" i="3"/>
  <c r="B520" i="3" s="1"/>
  <c r="L519" i="3"/>
  <c r="U519" i="3" l="1"/>
  <c r="Y518" i="3"/>
  <c r="AA520" i="3"/>
  <c r="AC520" i="3"/>
  <c r="Z520" i="3"/>
  <c r="P520" i="3"/>
  <c r="Q520" i="3" s="1"/>
  <c r="R520" i="3" s="1"/>
  <c r="S520" i="3" s="1"/>
  <c r="T520" i="3" l="1"/>
  <c r="D520" i="3" s="1"/>
  <c r="AG520" i="3" l="1"/>
  <c r="E520" i="3"/>
  <c r="H520" i="3" s="1"/>
  <c r="K520" i="3" s="1"/>
  <c r="AE520" i="3" s="1"/>
  <c r="AH520" i="3"/>
  <c r="G520" i="3"/>
  <c r="F520" i="3" l="1"/>
  <c r="I520" i="3"/>
  <c r="J520" i="3"/>
  <c r="AD520" i="3" s="1"/>
  <c r="M520" i="3"/>
  <c r="N520" i="3" s="1"/>
  <c r="V520" i="3"/>
  <c r="A521" i="3"/>
  <c r="B521" i="3" s="1"/>
  <c r="W520" i="3" l="1"/>
  <c r="L520" i="3"/>
  <c r="P521" i="3"/>
  <c r="Q521" i="3" s="1"/>
  <c r="R521" i="3" s="1"/>
  <c r="S521" i="3" s="1"/>
  <c r="AC521" i="3"/>
  <c r="AA521" i="3"/>
  <c r="Z521" i="3"/>
  <c r="U520" i="3" l="1"/>
  <c r="Y519" i="3"/>
  <c r="T521" i="3"/>
  <c r="AH521" i="3" s="1"/>
  <c r="AG521" i="3" l="1"/>
  <c r="D521" i="3"/>
  <c r="E521" i="3"/>
  <c r="H521" i="3" s="1"/>
  <c r="K521" i="3" s="1"/>
  <c r="AE521" i="3" s="1"/>
  <c r="F521" i="3" l="1"/>
  <c r="G521" i="3"/>
  <c r="I521" i="3" s="1"/>
  <c r="V521" i="3"/>
  <c r="A522" i="3"/>
  <c r="B522" i="3" s="1"/>
  <c r="M521" i="3" l="1"/>
  <c r="N521" i="3" s="1"/>
  <c r="J521" i="3"/>
  <c r="W521" i="3"/>
  <c r="AC522" i="3"/>
  <c r="P522" i="3"/>
  <c r="Q522" i="3" s="1"/>
  <c r="R522" i="3" s="1"/>
  <c r="S522" i="3" s="1"/>
  <c r="AA522" i="3"/>
  <c r="Z522" i="3"/>
  <c r="L521" i="3" l="1"/>
  <c r="U521" i="3" s="1"/>
  <c r="AD521" i="3"/>
  <c r="T522" i="3"/>
  <c r="AG522" i="3" l="1"/>
  <c r="Y520" i="3"/>
  <c r="AH522" i="3"/>
  <c r="E522" i="3"/>
  <c r="H522" i="3" s="1"/>
  <c r="D522" i="3"/>
  <c r="K522" i="3" l="1"/>
  <c r="AE522" i="3" s="1"/>
  <c r="F522" i="3"/>
  <c r="G522" i="3"/>
  <c r="I522" i="3" l="1"/>
  <c r="J522" i="3"/>
  <c r="AD522" i="3" s="1"/>
  <c r="M522" i="3"/>
  <c r="N522" i="3" s="1"/>
  <c r="V522" i="3"/>
  <c r="A523" i="3"/>
  <c r="B523" i="3" s="1"/>
  <c r="W522" i="3" l="1"/>
  <c r="L522" i="3"/>
  <c r="AC523" i="3"/>
  <c r="Z523" i="3"/>
  <c r="AA523" i="3"/>
  <c r="P523" i="3"/>
  <c r="Q523" i="3" s="1"/>
  <c r="R523" i="3" s="1"/>
  <c r="S523" i="3" s="1"/>
  <c r="U522" i="3" l="1"/>
  <c r="Y521" i="3"/>
  <c r="T523" i="3"/>
  <c r="AG523" i="3" s="1"/>
  <c r="AH523" i="3" l="1"/>
  <c r="D523" i="3"/>
  <c r="G523" i="3" s="1"/>
  <c r="E523" i="3"/>
  <c r="H523" i="3" s="1"/>
  <c r="F523" i="3" l="1"/>
  <c r="I523" i="3"/>
  <c r="J523" i="3"/>
  <c r="AD523" i="3" s="1"/>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Z525" i="3"/>
  <c r="P525" i="3"/>
  <c r="Q525" i="3" s="1"/>
  <c r="R525" i="3" s="1"/>
  <c r="S525" i="3" s="1"/>
  <c r="T525" i="3" l="1"/>
  <c r="AH525" i="3" s="1"/>
  <c r="U524" i="3"/>
  <c r="Y523" i="3"/>
  <c r="AG525" i="3" l="1"/>
  <c r="D525" i="3"/>
  <c r="E525" i="3"/>
  <c r="H525" i="3" s="1"/>
  <c r="F525" i="3" l="1"/>
  <c r="G525" i="3"/>
  <c r="K525" i="3"/>
  <c r="AE525" i="3" s="1"/>
  <c r="I525" i="3" l="1"/>
  <c r="J525" i="3"/>
  <c r="AD525" i="3" s="1"/>
  <c r="M525" i="3"/>
  <c r="N525" i="3" s="1"/>
  <c r="V525" i="3"/>
  <c r="A526" i="3"/>
  <c r="B526" i="3" s="1"/>
  <c r="L525" i="3" l="1"/>
  <c r="W525" i="3"/>
  <c r="AA526" i="3"/>
  <c r="P526" i="3"/>
  <c r="Q526" i="3" s="1"/>
  <c r="R526" i="3" s="1"/>
  <c r="S526" i="3" s="1"/>
  <c r="Z526" i="3"/>
  <c r="AC526" i="3"/>
  <c r="T526" i="3" l="1"/>
  <c r="U525" i="3"/>
  <c r="Y524" i="3"/>
  <c r="D526" i="3" l="1"/>
  <c r="G526" i="3" s="1"/>
  <c r="AH526" i="3"/>
  <c r="E526" i="3"/>
  <c r="H526" i="3" s="1"/>
  <c r="K526" i="3" s="1"/>
  <c r="AE526" i="3" s="1"/>
  <c r="AG526" i="3"/>
  <c r="F526" i="3" l="1"/>
  <c r="V526" i="3"/>
  <c r="A527" i="3"/>
  <c r="B527" i="3" s="1"/>
  <c r="I526" i="3"/>
  <c r="J526" i="3"/>
  <c r="AD526" i="3" s="1"/>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P529" i="3"/>
  <c r="Q529" i="3" s="1"/>
  <c r="R529" i="3" s="1"/>
  <c r="S529" i="3" s="1"/>
  <c r="AA529" i="3"/>
  <c r="L528" i="3" l="1"/>
  <c r="Y527" i="3" s="1"/>
  <c r="AD528" i="3"/>
  <c r="T529" i="3"/>
  <c r="AG529" i="3" l="1"/>
  <c r="U528" i="3"/>
  <c r="D529" i="3" s="1"/>
  <c r="G529" i="3" s="1"/>
  <c r="AH529" i="3"/>
  <c r="E529" i="3" l="1"/>
  <c r="H529" i="3" s="1"/>
  <c r="K529" i="3" s="1"/>
  <c r="AE529" i="3" s="1"/>
  <c r="J529" i="3"/>
  <c r="AD529" i="3" s="1"/>
  <c r="A530" i="3" l="1"/>
  <c r="B530" i="3" s="1"/>
  <c r="P530" i="3" s="1"/>
  <c r="Q530" i="3" s="1"/>
  <c r="R530" i="3" s="1"/>
  <c r="S530" i="3" s="1"/>
  <c r="V529" i="3"/>
  <c r="M529" i="3"/>
  <c r="N529" i="3" s="1"/>
  <c r="I529" i="3"/>
  <c r="F529" i="3"/>
  <c r="L529" i="3"/>
  <c r="AC530" i="3" l="1"/>
  <c r="Z530" i="3"/>
  <c r="AA530" i="3"/>
  <c r="W529" i="3"/>
  <c r="T530" i="3"/>
  <c r="U529" i="3"/>
  <c r="Y528" i="3"/>
  <c r="AG530" i="3" l="1"/>
  <c r="D530" i="3"/>
  <c r="G530" i="3" s="1"/>
  <c r="AH530" i="3"/>
  <c r="E530" i="3"/>
  <c r="H530" i="3" s="1"/>
  <c r="F530" i="3" l="1"/>
  <c r="I530" i="3"/>
  <c r="J530" i="3"/>
  <c r="AD530" i="3" s="1"/>
  <c r="M530" i="3"/>
  <c r="N530" i="3" s="1"/>
  <c r="K530" i="3"/>
  <c r="AE530" i="3" s="1"/>
  <c r="V530" i="3" l="1"/>
  <c r="W530" i="3" s="1"/>
  <c r="A531" i="3"/>
  <c r="B531" i="3" s="1"/>
  <c r="L530" i="3"/>
  <c r="U530" i="3" l="1"/>
  <c r="Y529" i="3"/>
  <c r="Z531" i="3"/>
  <c r="AC531" i="3"/>
  <c r="AA531" i="3"/>
  <c r="P531" i="3"/>
  <c r="Q531" i="3" s="1"/>
  <c r="R531" i="3" s="1"/>
  <c r="S531" i="3" s="1"/>
  <c r="T531" i="3" l="1"/>
  <c r="AG531" i="3" s="1"/>
  <c r="AH531" i="3" l="1"/>
  <c r="D531" i="3"/>
  <c r="E531" i="3"/>
  <c r="H531" i="3" s="1"/>
  <c r="K531" i="3" l="1"/>
  <c r="AE531" i="3" s="1"/>
  <c r="F531" i="3"/>
  <c r="G531" i="3"/>
  <c r="I531" i="3" l="1"/>
  <c r="J531" i="3"/>
  <c r="AD531" i="3" s="1"/>
  <c r="M531" i="3"/>
  <c r="N531" i="3" s="1"/>
  <c r="V531" i="3"/>
  <c r="A532" i="3"/>
  <c r="B532" i="3" s="1"/>
  <c r="W531" i="3" l="1"/>
  <c r="L531"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AD532" i="3" s="1"/>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A537" i="3"/>
  <c r="U536" i="3" l="1"/>
  <c r="Y535" i="3"/>
  <c r="T537" i="3"/>
  <c r="AH537" i="3" s="1"/>
  <c r="AG537" i="3" l="1"/>
  <c r="E537" i="3"/>
  <c r="H537" i="3" s="1"/>
  <c r="D537" i="3"/>
  <c r="K537" i="3" l="1"/>
  <c r="AE537" i="3" s="1"/>
  <c r="F537" i="3"/>
  <c r="G537" i="3"/>
  <c r="I537" i="3" l="1"/>
  <c r="J537" i="3"/>
  <c r="AD537" i="3" s="1"/>
  <c r="M537" i="3"/>
  <c r="N537" i="3" s="1"/>
  <c r="V537" i="3"/>
  <c r="A538" i="3"/>
  <c r="B538" i="3" s="1"/>
  <c r="W537" i="3" l="1"/>
  <c r="L537" i="3"/>
  <c r="AA538" i="3"/>
  <c r="AC538" i="3"/>
  <c r="Z538" i="3"/>
  <c r="P538" i="3"/>
  <c r="Q538" i="3" s="1"/>
  <c r="R538" i="3" s="1"/>
  <c r="S538" i="3" s="1"/>
  <c r="T538" i="3" l="1"/>
  <c r="U537" i="3"/>
  <c r="Y536" i="3"/>
  <c r="D538" i="3" l="1"/>
  <c r="G538" i="3" s="1"/>
  <c r="AH538" i="3"/>
  <c r="AG538" i="3"/>
  <c r="E538" i="3"/>
  <c r="H538" i="3" s="1"/>
  <c r="F538" i="3" l="1"/>
  <c r="I538" i="3"/>
  <c r="J538" i="3"/>
  <c r="AD538" i="3" s="1"/>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AD542" i="3" s="1"/>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AD545" i="3" s="1"/>
  <c r="M545" i="3"/>
  <c r="N545" i="3" s="1"/>
  <c r="AC546" i="3"/>
  <c r="P546" i="3"/>
  <c r="Q546" i="3" s="1"/>
  <c r="R546" i="3" s="1"/>
  <c r="S546" i="3" s="1"/>
  <c r="Z546" i="3"/>
  <c r="AA546" i="3"/>
  <c r="T546" i="3" l="1"/>
  <c r="L545" i="3"/>
  <c r="U545" i="3" l="1"/>
  <c r="D546" i="3" s="1"/>
  <c r="AG546" i="3"/>
  <c r="AH546" i="3"/>
  <c r="Y544" i="3"/>
  <c r="E546" i="3" l="1"/>
  <c r="H546" i="3" s="1"/>
  <c r="K546" i="3" s="1"/>
  <c r="AE546" i="3" s="1"/>
  <c r="G546" i="3"/>
  <c r="F546" i="3" l="1"/>
  <c r="V546" i="3"/>
  <c r="A547" i="3"/>
  <c r="B547" i="3" s="1"/>
  <c r="I546" i="3"/>
  <c r="J546" i="3"/>
  <c r="AD546" i="3" s="1"/>
  <c r="M546" i="3"/>
  <c r="N546" i="3" s="1"/>
  <c r="W546" i="3" l="1"/>
  <c r="L546" i="3"/>
  <c r="AC547" i="3"/>
  <c r="P547" i="3"/>
  <c r="Q547" i="3" s="1"/>
  <c r="R547" i="3" s="1"/>
  <c r="S547" i="3" s="1"/>
  <c r="AA547" i="3"/>
  <c r="Z547" i="3"/>
  <c r="U546" i="3" l="1"/>
  <c r="Y545" i="3"/>
  <c r="T547" i="3"/>
  <c r="AG547" i="3" s="1"/>
  <c r="E547" i="3" l="1"/>
  <c r="H547" i="3" s="1"/>
  <c r="K547" i="3" s="1"/>
  <c r="AE547" i="3" s="1"/>
  <c r="D547" i="3"/>
  <c r="G547" i="3" s="1"/>
  <c r="AH547" i="3"/>
  <c r="F547" i="3" l="1"/>
  <c r="I547" i="3"/>
  <c r="J547" i="3"/>
  <c r="AD547" i="3" s="1"/>
  <c r="M547" i="3"/>
  <c r="N547" i="3" s="1"/>
  <c r="V547" i="3"/>
  <c r="A548" i="3"/>
  <c r="B548" i="3" s="1"/>
  <c r="W547" i="3" l="1"/>
  <c r="L547" i="3"/>
  <c r="Z548" i="3"/>
  <c r="AA548" i="3"/>
  <c r="P548" i="3"/>
  <c r="Q548" i="3" s="1"/>
  <c r="R548" i="3" s="1"/>
  <c r="S548" i="3" s="1"/>
  <c r="AC548" i="3"/>
  <c r="U547" i="3" l="1"/>
  <c r="Y546" i="3"/>
  <c r="T548" i="3"/>
  <c r="E548" i="3" l="1"/>
  <c r="H548" i="3" s="1"/>
  <c r="K548" i="3" s="1"/>
  <c r="AE548" i="3" s="1"/>
  <c r="D548" i="3"/>
  <c r="AG548" i="3"/>
  <c r="AH548" i="3"/>
  <c r="V548" i="3" l="1"/>
  <c r="A549" i="3"/>
  <c r="B549" i="3" s="1"/>
  <c r="F548" i="3"/>
  <c r="G548" i="3"/>
  <c r="I548" i="3" l="1"/>
  <c r="W548" i="3" s="1"/>
  <c r="J548" i="3"/>
  <c r="AD548" i="3" s="1"/>
  <c r="M548" i="3"/>
  <c r="N548" i="3" s="1"/>
  <c r="P549" i="3"/>
  <c r="Q549" i="3" s="1"/>
  <c r="R549" i="3" s="1"/>
  <c r="S549" i="3" s="1"/>
  <c r="AC549" i="3"/>
  <c r="AA549" i="3"/>
  <c r="Z549" i="3"/>
  <c r="T549" i="3" l="1"/>
  <c r="L548" i="3"/>
  <c r="AH549" i="3" l="1"/>
  <c r="U548" i="3"/>
  <c r="E549" i="3" s="1"/>
  <c r="H549" i="3" s="1"/>
  <c r="AG549" i="3"/>
  <c r="Y547" i="3"/>
  <c r="K549" i="3" l="1"/>
  <c r="AE549" i="3" s="1"/>
  <c r="D549" i="3"/>
  <c r="V549" i="3" l="1"/>
  <c r="A550" i="3"/>
  <c r="B550" i="3" s="1"/>
  <c r="F549" i="3"/>
  <c r="G549" i="3"/>
  <c r="I549" i="3" l="1"/>
  <c r="W549" i="3" s="1"/>
  <c r="J549" i="3"/>
  <c r="AD549" i="3" s="1"/>
  <c r="M549" i="3"/>
  <c r="N549" i="3" s="1"/>
  <c r="P550" i="3"/>
  <c r="Q550" i="3" s="1"/>
  <c r="R550" i="3" s="1"/>
  <c r="S550" i="3" s="1"/>
  <c r="AA550" i="3"/>
  <c r="AC550" i="3"/>
  <c r="Z550" i="3"/>
  <c r="T550" i="3" l="1"/>
  <c r="L549" i="3"/>
  <c r="U549" i="3" l="1"/>
  <c r="D550" i="3" s="1"/>
  <c r="AH550" i="3"/>
  <c r="AG550" i="3"/>
  <c r="Y548" i="3"/>
  <c r="E550" i="3" l="1"/>
  <c r="H550" i="3" s="1"/>
  <c r="K550" i="3" s="1"/>
  <c r="AE550" i="3" s="1"/>
  <c r="G550" i="3"/>
  <c r="F550" i="3" l="1"/>
  <c r="I550" i="3"/>
  <c r="J550" i="3"/>
  <c r="AD550" i="3" s="1"/>
  <c r="M550" i="3"/>
  <c r="N550" i="3" s="1"/>
  <c r="V550" i="3"/>
  <c r="A551" i="3"/>
  <c r="B551" i="3" s="1"/>
  <c r="W550" i="3" l="1"/>
  <c r="L550" i="3"/>
  <c r="P551" i="3"/>
  <c r="Q551" i="3" s="1"/>
  <c r="R551" i="3" s="1"/>
  <c r="S551" i="3" s="1"/>
  <c r="AC551" i="3"/>
  <c r="AA551" i="3"/>
  <c r="Z551" i="3"/>
  <c r="T551" i="3" l="1"/>
  <c r="AG551" i="3" s="1"/>
  <c r="U550" i="3"/>
  <c r="Y549" i="3"/>
  <c r="D551" i="3" l="1"/>
  <c r="G551" i="3" s="1"/>
  <c r="AH551" i="3"/>
  <c r="E551" i="3"/>
  <c r="H551" i="3" s="1"/>
  <c r="F551" i="3" l="1"/>
  <c r="I551" i="3"/>
  <c r="J551" i="3"/>
  <c r="AD551" i="3" s="1"/>
  <c r="M551" i="3"/>
  <c r="N551" i="3" s="1"/>
  <c r="K551" i="3"/>
  <c r="AE551" i="3" s="1"/>
  <c r="V551" i="3" l="1"/>
  <c r="W551" i="3" s="1"/>
  <c r="A552" i="3"/>
  <c r="B552" i="3" s="1"/>
  <c r="L551" i="3"/>
  <c r="U551" i="3" l="1"/>
  <c r="Y550" i="3"/>
  <c r="AA552" i="3"/>
  <c r="P552" i="3"/>
  <c r="Q552" i="3" s="1"/>
  <c r="R552" i="3" s="1"/>
  <c r="S552" i="3" s="1"/>
  <c r="AC552" i="3"/>
  <c r="Z552" i="3"/>
  <c r="T552" i="3" l="1"/>
  <c r="D552" i="3" s="1"/>
  <c r="AG552" i="3" l="1"/>
  <c r="AH552" i="3"/>
  <c r="E552" i="3"/>
  <c r="H552" i="3" s="1"/>
  <c r="K552" i="3" s="1"/>
  <c r="AE552" i="3" s="1"/>
  <c r="G552" i="3"/>
  <c r="F552" i="3" l="1"/>
  <c r="I552" i="3"/>
  <c r="J552" i="3"/>
  <c r="AD552" i="3" s="1"/>
  <c r="M552" i="3"/>
  <c r="N552" i="3" s="1"/>
  <c r="V552" i="3"/>
  <c r="A553" i="3"/>
  <c r="B553" i="3" s="1"/>
  <c r="W552" i="3" l="1"/>
  <c r="L552" i="3"/>
  <c r="P553" i="3"/>
  <c r="Q553" i="3" s="1"/>
  <c r="R553" i="3" s="1"/>
  <c r="S553" i="3" s="1"/>
  <c r="Z553" i="3"/>
  <c r="AC553" i="3"/>
  <c r="AA553" i="3"/>
  <c r="T553" i="3" l="1"/>
  <c r="U552" i="3"/>
  <c r="Y551" i="3"/>
  <c r="D553" i="3" l="1"/>
  <c r="G553" i="3" s="1"/>
  <c r="AH553" i="3"/>
  <c r="AG553" i="3"/>
  <c r="E553" i="3"/>
  <c r="H553" i="3" s="1"/>
  <c r="K553" i="3" l="1"/>
  <c r="AE553" i="3" s="1"/>
  <c r="F553" i="3"/>
  <c r="I553" i="3"/>
  <c r="J553" i="3"/>
  <c r="AD553" i="3" s="1"/>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L554" i="3" l="1"/>
  <c r="T555" i="3"/>
  <c r="U554" i="3" l="1"/>
  <c r="E555" i="3" s="1"/>
  <c r="H555" i="3" s="1"/>
  <c r="AG555" i="3"/>
  <c r="AH555" i="3"/>
  <c r="Y553" i="3"/>
  <c r="K555" i="3" l="1"/>
  <c r="AE555" i="3" s="1"/>
  <c r="D555" i="3"/>
  <c r="F555" i="3" l="1"/>
  <c r="G555" i="3"/>
  <c r="V555" i="3"/>
  <c r="A556" i="3"/>
  <c r="B556" i="3" s="1"/>
  <c r="P556" i="3" l="1"/>
  <c r="Q556" i="3" s="1"/>
  <c r="R556" i="3" s="1"/>
  <c r="S556" i="3" s="1"/>
  <c r="AA556" i="3"/>
  <c r="Z556" i="3"/>
  <c r="AC556" i="3"/>
  <c r="I555" i="3"/>
  <c r="W555" i="3" s="1"/>
  <c r="J555" i="3"/>
  <c r="AD555" i="3" s="1"/>
  <c r="M555" i="3"/>
  <c r="N555" i="3" s="1"/>
  <c r="T556" i="3" l="1"/>
  <c r="L555" i="3"/>
  <c r="AH556" i="3" l="1"/>
  <c r="U555" i="3"/>
  <c r="D556" i="3" s="1"/>
  <c r="AG556" i="3"/>
  <c r="Y554" i="3"/>
  <c r="E556" i="3" l="1"/>
  <c r="H556" i="3" s="1"/>
  <c r="K556" i="3" s="1"/>
  <c r="AE556" i="3" s="1"/>
  <c r="G556" i="3"/>
  <c r="F556" i="3" l="1"/>
  <c r="I556" i="3"/>
  <c r="J556" i="3"/>
  <c r="AD556" i="3" s="1"/>
  <c r="M556" i="3"/>
  <c r="N556" i="3" s="1"/>
  <c r="V556" i="3"/>
  <c r="A557" i="3"/>
  <c r="B557" i="3" s="1"/>
  <c r="W556" i="3" l="1"/>
  <c r="L556" i="3"/>
  <c r="P557" i="3"/>
  <c r="Q557" i="3" s="1"/>
  <c r="R557" i="3" s="1"/>
  <c r="S557" i="3" s="1"/>
  <c r="AA557" i="3"/>
  <c r="AC557" i="3"/>
  <c r="Z557" i="3"/>
  <c r="U556" i="3" l="1"/>
  <c r="Y555" i="3"/>
  <c r="T557" i="3"/>
  <c r="AH557" i="3" s="1"/>
  <c r="D557" i="3" l="1"/>
  <c r="G557" i="3" s="1"/>
  <c r="AG557" i="3"/>
  <c r="E557" i="3"/>
  <c r="H557" i="3" s="1"/>
  <c r="K557" i="3" s="1"/>
  <c r="AE557" i="3" s="1"/>
  <c r="F557" i="3" l="1"/>
  <c r="I557" i="3"/>
  <c r="J557" i="3"/>
  <c r="AD557" i="3" s="1"/>
  <c r="M557" i="3"/>
  <c r="N557" i="3" s="1"/>
  <c r="V557" i="3"/>
  <c r="A558" i="3"/>
  <c r="B558" i="3" s="1"/>
  <c r="W557" i="3" l="1"/>
  <c r="L557" i="3"/>
  <c r="AA558" i="3"/>
  <c r="P558" i="3"/>
  <c r="Q558" i="3" s="1"/>
  <c r="R558" i="3" s="1"/>
  <c r="S558" i="3" s="1"/>
  <c r="Z558" i="3"/>
  <c r="AC558" i="3"/>
  <c r="T558" i="3" l="1"/>
  <c r="AG558" i="3" s="1"/>
  <c r="U557" i="3"/>
  <c r="Y556" i="3"/>
  <c r="E558" i="3" l="1"/>
  <c r="H558" i="3" s="1"/>
  <c r="AH558" i="3"/>
  <c r="D558" i="3"/>
  <c r="F558" i="3" l="1"/>
  <c r="G558" i="3"/>
  <c r="K558" i="3"/>
  <c r="AE558" i="3" s="1"/>
  <c r="I558" i="3" l="1"/>
  <c r="J558" i="3"/>
  <c r="AD558" i="3" s="1"/>
  <c r="M558" i="3"/>
  <c r="N558" i="3" s="1"/>
  <c r="V558" i="3"/>
  <c r="A559" i="3"/>
  <c r="B559" i="3" s="1"/>
  <c r="W558" i="3" l="1"/>
  <c r="L558" i="3"/>
  <c r="AC559" i="3"/>
  <c r="P559" i="3"/>
  <c r="Q559" i="3" s="1"/>
  <c r="R559" i="3" s="1"/>
  <c r="S559" i="3" s="1"/>
  <c r="AA559" i="3"/>
  <c r="Z559" i="3"/>
  <c r="T559" i="3" l="1"/>
  <c r="U558" i="3"/>
  <c r="Y557" i="3"/>
  <c r="E559" i="3" l="1"/>
  <c r="H559" i="3" s="1"/>
  <c r="K559" i="3" s="1"/>
  <c r="AE559" i="3" s="1"/>
  <c r="AH559" i="3"/>
  <c r="AG559" i="3"/>
  <c r="D559" i="3"/>
  <c r="V559" i="3" l="1"/>
  <c r="A560" i="3"/>
  <c r="B560" i="3" s="1"/>
  <c r="F559" i="3"/>
  <c r="G559" i="3"/>
  <c r="I559" i="3" l="1"/>
  <c r="W559" i="3" s="1"/>
  <c r="J559" i="3"/>
  <c r="AD559" i="3" s="1"/>
  <c r="M559" i="3"/>
  <c r="N559" i="3" s="1"/>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AD560" i="3" s="1"/>
  <c r="M560" i="3"/>
  <c r="N560" i="3" s="1"/>
  <c r="W560" i="3" l="1"/>
  <c r="L560" i="3"/>
  <c r="AA561" i="3"/>
  <c r="P561" i="3"/>
  <c r="Q561" i="3" s="1"/>
  <c r="R561" i="3" s="1"/>
  <c r="S561" i="3" s="1"/>
  <c r="Z561" i="3"/>
  <c r="AC561" i="3"/>
  <c r="U560" i="3" l="1"/>
  <c r="Y559" i="3"/>
  <c r="T561" i="3"/>
  <c r="E561" i="3" l="1"/>
  <c r="H561" i="3" s="1"/>
  <c r="K561" i="3" s="1"/>
  <c r="AE561" i="3" s="1"/>
  <c r="D561" i="3"/>
  <c r="AH561" i="3"/>
  <c r="AG561" i="3"/>
  <c r="F561" i="3" l="1"/>
  <c r="G561" i="3"/>
  <c r="M561" i="3" s="1"/>
  <c r="N561" i="3" s="1"/>
  <c r="V561" i="3"/>
  <c r="A562" i="3"/>
  <c r="B562" i="3" s="1"/>
  <c r="I561" i="3" l="1"/>
  <c r="W561" i="3" s="1"/>
  <c r="J561" i="3"/>
  <c r="Z562" i="3"/>
  <c r="AA562" i="3"/>
  <c r="P562" i="3"/>
  <c r="Q562" i="3" s="1"/>
  <c r="R562" i="3" s="1"/>
  <c r="S562" i="3" s="1"/>
  <c r="AC562" i="3"/>
  <c r="L561" i="3" l="1"/>
  <c r="U561" i="3" s="1"/>
  <c r="AD561" i="3"/>
  <c r="T562" i="3"/>
  <c r="AH562" i="3" l="1"/>
  <c r="Y560" i="3"/>
  <c r="AG562" i="3"/>
  <c r="E562" i="3"/>
  <c r="H562" i="3" s="1"/>
  <c r="K562" i="3" s="1"/>
  <c r="AE562" i="3" s="1"/>
  <c r="D562" i="3"/>
  <c r="F562" i="3" l="1"/>
  <c r="G562" i="3"/>
  <c r="J562" i="3" s="1"/>
  <c r="AD562" i="3" s="1"/>
  <c r="V562" i="3"/>
  <c r="A563" i="3"/>
  <c r="B563" i="3" s="1"/>
  <c r="M562" i="3" l="1"/>
  <c r="N562" i="3" s="1"/>
  <c r="I562" i="3"/>
  <c r="W562" i="3" s="1"/>
  <c r="L562" i="3"/>
  <c r="Z563" i="3"/>
  <c r="P563" i="3"/>
  <c r="Q563" i="3" s="1"/>
  <c r="R563" i="3" s="1"/>
  <c r="S563" i="3" s="1"/>
  <c r="AC563" i="3"/>
  <c r="AA563" i="3"/>
  <c r="U562" i="3" l="1"/>
  <c r="Y561" i="3"/>
  <c r="T563" i="3"/>
  <c r="AH563" i="3" s="1"/>
  <c r="AG563" i="3" l="1"/>
  <c r="D563" i="3"/>
  <c r="E563" i="3"/>
  <c r="H563" i="3" s="1"/>
  <c r="K563" i="3" s="1"/>
  <c r="AE563" i="3" s="1"/>
  <c r="F563" i="3" l="1"/>
  <c r="G563" i="3"/>
  <c r="M563" i="3" s="1"/>
  <c r="N563" i="3" s="1"/>
  <c r="V563" i="3"/>
  <c r="A564" i="3"/>
  <c r="B564" i="3" s="1"/>
  <c r="I563" i="3" l="1"/>
  <c r="W563" i="3" s="1"/>
  <c r="J563" i="3"/>
  <c r="Z564" i="3"/>
  <c r="P564" i="3"/>
  <c r="Q564" i="3" s="1"/>
  <c r="R564" i="3" s="1"/>
  <c r="S564" i="3" s="1"/>
  <c r="AC564" i="3"/>
  <c r="AA564" i="3"/>
  <c r="L563" i="3" l="1"/>
  <c r="U563" i="3" s="1"/>
  <c r="AD563" i="3"/>
  <c r="T564" i="3"/>
  <c r="AH564" i="3" l="1"/>
  <c r="Y562" i="3"/>
  <c r="D564" i="3"/>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U564" i="3" l="1"/>
  <c r="Y563" i="3"/>
  <c r="T565" i="3"/>
  <c r="E565" i="3" l="1"/>
  <c r="H565" i="3" s="1"/>
  <c r="K565" i="3" s="1"/>
  <c r="AE565" i="3" s="1"/>
  <c r="D565" i="3"/>
  <c r="AG565" i="3"/>
  <c r="AH565" i="3"/>
  <c r="V565" i="3" l="1"/>
  <c r="A566" i="3"/>
  <c r="B566" i="3" s="1"/>
  <c r="F565" i="3"/>
  <c r="G565" i="3"/>
  <c r="I565" i="3" l="1"/>
  <c r="W565" i="3" s="1"/>
  <c r="J565" i="3"/>
  <c r="AD565" i="3" s="1"/>
  <c r="M565" i="3"/>
  <c r="N565" i="3" s="1"/>
  <c r="Z566" i="3"/>
  <c r="AA566" i="3"/>
  <c r="P566" i="3"/>
  <c r="Q566" i="3" s="1"/>
  <c r="R566" i="3" s="1"/>
  <c r="S566" i="3" s="1"/>
  <c r="AC566" i="3"/>
  <c r="L565" i="3" l="1"/>
  <c r="T566" i="3"/>
  <c r="AG566" i="3" l="1"/>
  <c r="AH566" i="3"/>
  <c r="U565" i="3"/>
  <c r="D566" i="3" s="1"/>
  <c r="Y564" i="3"/>
  <c r="G566" i="3" l="1"/>
  <c r="E566" i="3"/>
  <c r="H566" i="3" s="1"/>
  <c r="F566" i="3" l="1"/>
  <c r="I566" i="3"/>
  <c r="J566" i="3"/>
  <c r="AD566" i="3" s="1"/>
  <c r="M566" i="3"/>
  <c r="N566" i="3" s="1"/>
  <c r="K566" i="3"/>
  <c r="AE566" i="3" s="1"/>
  <c r="V566" i="3" l="1"/>
  <c r="W566" i="3" s="1"/>
  <c r="A567" i="3"/>
  <c r="B567" i="3" s="1"/>
  <c r="L566" i="3"/>
  <c r="U566" i="3" l="1"/>
  <c r="Y565" i="3"/>
  <c r="P567" i="3"/>
  <c r="Q567" i="3" s="1"/>
  <c r="R567" i="3" s="1"/>
  <c r="S567" i="3" s="1"/>
  <c r="AA567" i="3"/>
  <c r="Z567" i="3"/>
  <c r="AC567" i="3"/>
  <c r="T567" i="3" l="1"/>
  <c r="AG567" i="3" s="1"/>
  <c r="AH567" i="3" l="1"/>
  <c r="E567" i="3"/>
  <c r="H567" i="3" s="1"/>
  <c r="K567" i="3" s="1"/>
  <c r="AE567" i="3" s="1"/>
  <c r="D567" i="3"/>
  <c r="G567" i="3" s="1"/>
  <c r="F567" i="3" l="1"/>
  <c r="I567" i="3"/>
  <c r="J567" i="3"/>
  <c r="AD567" i="3" s="1"/>
  <c r="M567" i="3"/>
  <c r="N567" i="3" s="1"/>
  <c r="V567" i="3"/>
  <c r="A568" i="3"/>
  <c r="B568" i="3" s="1"/>
  <c r="W567" i="3" l="1"/>
  <c r="L567" i="3"/>
  <c r="AC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AD568" i="3" s="1"/>
  <c r="M568" i="3"/>
  <c r="N568" i="3" s="1"/>
  <c r="L568" i="3" l="1"/>
  <c r="W568" i="3"/>
  <c r="AA569" i="3"/>
  <c r="P569" i="3"/>
  <c r="Q569" i="3" s="1"/>
  <c r="R569" i="3" s="1"/>
  <c r="S569" i="3" s="1"/>
  <c r="AC569" i="3"/>
  <c r="Z569" i="3"/>
  <c r="T569" i="3" l="1"/>
  <c r="AH569" i="3" s="1"/>
  <c r="U568" i="3"/>
  <c r="Y567" i="3"/>
  <c r="D569" i="3" l="1"/>
  <c r="G569" i="3" s="1"/>
  <c r="AG569" i="3"/>
  <c r="E569" i="3"/>
  <c r="H569" i="3" s="1"/>
  <c r="F569" i="3" l="1"/>
  <c r="I569" i="3"/>
  <c r="J569" i="3"/>
  <c r="AD569" i="3" s="1"/>
  <c r="M569" i="3"/>
  <c r="N569" i="3" s="1"/>
  <c r="K569" i="3"/>
  <c r="AE569" i="3" s="1"/>
  <c r="L569" i="3" l="1"/>
  <c r="V569" i="3"/>
  <c r="W569" i="3" s="1"/>
  <c r="A570" i="3"/>
  <c r="B570" i="3" s="1"/>
  <c r="AC570" i="3" l="1"/>
  <c r="P570" i="3"/>
  <c r="Q570" i="3" s="1"/>
  <c r="R570" i="3" s="1"/>
  <c r="S570" i="3" s="1"/>
  <c r="Z570" i="3"/>
  <c r="AA570" i="3"/>
  <c r="U569" i="3"/>
  <c r="Y568" i="3"/>
  <c r="T570" i="3" l="1"/>
  <c r="D570" i="3" l="1"/>
  <c r="E570" i="3"/>
  <c r="H570" i="3" s="1"/>
  <c r="AG570" i="3"/>
  <c r="AH570" i="3"/>
  <c r="F570" i="3" l="1"/>
  <c r="G570" i="3"/>
  <c r="K570" i="3"/>
  <c r="AE570" i="3" s="1"/>
  <c r="V570" i="3" l="1"/>
  <c r="A571" i="3"/>
  <c r="B571" i="3" s="1"/>
  <c r="I570" i="3"/>
  <c r="J570" i="3"/>
  <c r="AD570" i="3" s="1"/>
  <c r="M570" i="3"/>
  <c r="N570" i="3" s="1"/>
  <c r="W570" i="3" l="1"/>
  <c r="L570" i="3"/>
  <c r="P571" i="3"/>
  <c r="Q571" i="3" s="1"/>
  <c r="R571" i="3" s="1"/>
  <c r="S571" i="3" s="1"/>
  <c r="AA571" i="3"/>
  <c r="Z571" i="3"/>
  <c r="AC571" i="3"/>
  <c r="U570" i="3" l="1"/>
  <c r="Y569" i="3"/>
  <c r="T571" i="3"/>
  <c r="D571" i="3" l="1"/>
  <c r="G571" i="3" s="1"/>
  <c r="AG571" i="3"/>
  <c r="AH571" i="3"/>
  <c r="E571" i="3"/>
  <c r="H571" i="3" s="1"/>
  <c r="K571" i="3" s="1"/>
  <c r="AE571" i="3" s="1"/>
  <c r="F571" i="3" l="1"/>
  <c r="V571" i="3"/>
  <c r="A572" i="3"/>
  <c r="B572" i="3" s="1"/>
  <c r="I571" i="3"/>
  <c r="J571" i="3"/>
  <c r="AD571" i="3" s="1"/>
  <c r="M571" i="3"/>
  <c r="N571" i="3" s="1"/>
  <c r="W571" i="3" l="1"/>
  <c r="L571" i="3"/>
  <c r="AC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AD572" i="3" s="1"/>
  <c r="M572" i="3"/>
  <c r="N572" i="3" s="1"/>
  <c r="W572" i="3" l="1"/>
  <c r="L572" i="3"/>
  <c r="P573" i="3"/>
  <c r="Q573" i="3" s="1"/>
  <c r="R573" i="3" s="1"/>
  <c r="S573" i="3" s="1"/>
  <c r="Z573" i="3"/>
  <c r="AC573" i="3"/>
  <c r="AA573" i="3"/>
  <c r="U572" i="3" l="1"/>
  <c r="Y571" i="3"/>
  <c r="T573" i="3"/>
  <c r="E573" i="3" l="1"/>
  <c r="H573" i="3" s="1"/>
  <c r="K573" i="3" s="1"/>
  <c r="AE573" i="3" s="1"/>
  <c r="D573" i="3"/>
  <c r="AH573" i="3"/>
  <c r="AG573" i="3"/>
  <c r="F573" i="3" l="1"/>
  <c r="G573" i="3"/>
  <c r="I573" i="3" s="1"/>
  <c r="V573" i="3"/>
  <c r="A574" i="3"/>
  <c r="B574" i="3" s="1"/>
  <c r="J573" i="3" l="1"/>
  <c r="M573" i="3"/>
  <c r="N573" i="3" s="1"/>
  <c r="W573" i="3"/>
  <c r="AA574" i="3"/>
  <c r="Z574" i="3"/>
  <c r="P574" i="3"/>
  <c r="Q574" i="3" s="1"/>
  <c r="R574" i="3" s="1"/>
  <c r="S574" i="3" s="1"/>
  <c r="AC574" i="3"/>
  <c r="L573" i="3" l="1"/>
  <c r="U573" i="3" s="1"/>
  <c r="AD573" i="3"/>
  <c r="T574" i="3"/>
  <c r="AH574" i="3" l="1"/>
  <c r="Y572" i="3"/>
  <c r="D574" i="3"/>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T575" i="3" l="1"/>
  <c r="AH575" i="3" s="1"/>
  <c r="AG575" i="3" l="1"/>
  <c r="E575" i="3"/>
  <c r="H575" i="3" s="1"/>
  <c r="D575" i="3"/>
  <c r="K575" i="3" l="1"/>
  <c r="AE575" i="3" s="1"/>
  <c r="F575" i="3"/>
  <c r="G575" i="3"/>
  <c r="V575" i="3" l="1"/>
  <c r="A576" i="3"/>
  <c r="B576" i="3" s="1"/>
  <c r="I575" i="3"/>
  <c r="J575" i="3"/>
  <c r="AD575" i="3" s="1"/>
  <c r="M575" i="3"/>
  <c r="N575" i="3" s="1"/>
  <c r="W575" i="3" l="1"/>
  <c r="L575" i="3"/>
  <c r="AA576" i="3"/>
  <c r="P576" i="3"/>
  <c r="Q576" i="3" s="1"/>
  <c r="R576" i="3" s="1"/>
  <c r="S576" i="3" s="1"/>
  <c r="Z576" i="3"/>
  <c r="AC576" i="3"/>
  <c r="U575" i="3" l="1"/>
  <c r="Y574" i="3"/>
  <c r="T576" i="3"/>
  <c r="E576" i="3" l="1"/>
  <c r="H576" i="3" s="1"/>
  <c r="K576" i="3" s="1"/>
  <c r="AE576" i="3" s="1"/>
  <c r="AH576" i="3"/>
  <c r="D576" i="3"/>
  <c r="G576" i="3" s="1"/>
  <c r="AG576" i="3"/>
  <c r="F576" i="3" l="1"/>
  <c r="V576" i="3"/>
  <c r="A577" i="3"/>
  <c r="B577" i="3" s="1"/>
  <c r="I576" i="3"/>
  <c r="J576" i="3"/>
  <c r="AD576" i="3" s="1"/>
  <c r="M576" i="3"/>
  <c r="N576" i="3" s="1"/>
  <c r="W576" i="3" l="1"/>
  <c r="L576" i="3"/>
  <c r="P577" i="3"/>
  <c r="Q577" i="3" s="1"/>
  <c r="R577" i="3" s="1"/>
  <c r="S577" i="3" s="1"/>
  <c r="AC577" i="3"/>
  <c r="AA577" i="3"/>
  <c r="Z577" i="3"/>
  <c r="U576" i="3" l="1"/>
  <c r="Y575" i="3"/>
  <c r="T577" i="3"/>
  <c r="AH577" i="3" s="1"/>
  <c r="E577" i="3" l="1"/>
  <c r="H577" i="3" s="1"/>
  <c r="K577" i="3" s="1"/>
  <c r="AE577" i="3" s="1"/>
  <c r="AG577" i="3"/>
  <c r="D577" i="3"/>
  <c r="F577" i="3" l="1"/>
  <c r="G577" i="3"/>
  <c r="J577" i="3" s="1"/>
  <c r="AD577" i="3" s="1"/>
  <c r="V577" i="3"/>
  <c r="A578" i="3"/>
  <c r="B578" i="3" s="1"/>
  <c r="M577" i="3" l="1"/>
  <c r="N577" i="3" s="1"/>
  <c r="I577" i="3"/>
  <c r="W577" i="3" s="1"/>
  <c r="L577" i="3"/>
  <c r="AC578" i="3"/>
  <c r="P578" i="3"/>
  <c r="Q578" i="3" s="1"/>
  <c r="R578" i="3" s="1"/>
  <c r="S578" i="3" s="1"/>
  <c r="Z578" i="3"/>
  <c r="AA578" i="3"/>
  <c r="U577" i="3" l="1"/>
  <c r="Y576" i="3"/>
  <c r="T578" i="3"/>
  <c r="AG578" i="3" s="1"/>
  <c r="D578" i="3" l="1"/>
  <c r="G578" i="3" s="1"/>
  <c r="AH578" i="3"/>
  <c r="E578" i="3"/>
  <c r="H578" i="3" s="1"/>
  <c r="K578" i="3" s="1"/>
  <c r="AE578" i="3" s="1"/>
  <c r="F578" i="3" l="1"/>
  <c r="I578" i="3"/>
  <c r="J578" i="3"/>
  <c r="AD578" i="3" s="1"/>
  <c r="M578" i="3"/>
  <c r="N578" i="3" s="1"/>
  <c r="V578" i="3"/>
  <c r="A579" i="3"/>
  <c r="B579" i="3" s="1"/>
  <c r="W578" i="3" l="1"/>
  <c r="L578" i="3"/>
  <c r="AC579" i="3"/>
  <c r="Z579" i="3"/>
  <c r="P579" i="3"/>
  <c r="Q579" i="3" s="1"/>
  <c r="R579" i="3" s="1"/>
  <c r="S579" i="3" s="1"/>
  <c r="AA579" i="3"/>
  <c r="U578" i="3" l="1"/>
  <c r="Y577" i="3"/>
  <c r="T579" i="3"/>
  <c r="AG579" i="3" s="1"/>
  <c r="E579" i="3" l="1"/>
  <c r="H579" i="3" s="1"/>
  <c r="K579" i="3" s="1"/>
  <c r="AE579" i="3" s="1"/>
  <c r="AH579" i="3"/>
  <c r="D579" i="3"/>
  <c r="F579" i="3" l="1"/>
  <c r="G579" i="3"/>
  <c r="M579" i="3" s="1"/>
  <c r="N579" i="3" s="1"/>
  <c r="V579" i="3"/>
  <c r="A580" i="3"/>
  <c r="B580" i="3" s="1"/>
  <c r="I579" i="3" l="1"/>
  <c r="W579" i="3" s="1"/>
  <c r="J579" i="3"/>
  <c r="P580" i="3"/>
  <c r="Q580" i="3" s="1"/>
  <c r="R580" i="3" s="1"/>
  <c r="S580" i="3" s="1"/>
  <c r="AA580" i="3"/>
  <c r="AC580" i="3"/>
  <c r="Z580" i="3"/>
  <c r="L579" i="3" l="1"/>
  <c r="Y578" i="3" s="1"/>
  <c r="AD579" i="3"/>
  <c r="T580" i="3"/>
  <c r="AH580" i="3" l="1"/>
  <c r="U579" i="3"/>
  <c r="E580" i="3" s="1"/>
  <c r="H580" i="3" s="1"/>
  <c r="AG580" i="3"/>
  <c r="D580" i="3" l="1"/>
  <c r="G580" i="3" s="1"/>
  <c r="K580" i="3"/>
  <c r="AE580" i="3" s="1"/>
  <c r="F580" i="3" l="1"/>
  <c r="I580" i="3"/>
  <c r="J580" i="3"/>
  <c r="AD580" i="3" s="1"/>
  <c r="M580" i="3"/>
  <c r="N580" i="3" s="1"/>
  <c r="V580" i="3"/>
  <c r="A581" i="3"/>
  <c r="B581" i="3" s="1"/>
  <c r="W580" i="3" l="1"/>
  <c r="P581" i="3"/>
  <c r="Q581" i="3" s="1"/>
  <c r="R581" i="3" s="1"/>
  <c r="S581" i="3" s="1"/>
  <c r="Z581" i="3"/>
  <c r="AA581" i="3"/>
  <c r="AC581" i="3"/>
  <c r="L580" i="3"/>
  <c r="T581" i="3" l="1"/>
  <c r="AH581" i="3" s="1"/>
  <c r="U580" i="3"/>
  <c r="Y579" i="3"/>
  <c r="D581" i="3" l="1"/>
  <c r="G581" i="3" s="1"/>
  <c r="AG581" i="3"/>
  <c r="E581" i="3"/>
  <c r="H581" i="3" s="1"/>
  <c r="I581" i="3" l="1"/>
  <c r="J581" i="3"/>
  <c r="AD581" i="3" s="1"/>
  <c r="M581" i="3"/>
  <c r="N581" i="3" s="1"/>
  <c r="F581" i="3"/>
  <c r="K581" i="3"/>
  <c r="AE581" i="3" s="1"/>
  <c r="L581" i="3" l="1"/>
  <c r="V581" i="3"/>
  <c r="W581" i="3" s="1"/>
  <c r="A582" i="3"/>
  <c r="B582" i="3" s="1"/>
  <c r="P582" i="3" l="1"/>
  <c r="Q582" i="3" s="1"/>
  <c r="R582" i="3" s="1"/>
  <c r="S582" i="3" s="1"/>
  <c r="Z582" i="3"/>
  <c r="AC582" i="3"/>
  <c r="AA582" i="3"/>
  <c r="U581" i="3"/>
  <c r="Y580" i="3"/>
  <c r="T582" i="3" l="1"/>
  <c r="AH582" i="3" s="1"/>
  <c r="E582" i="3" l="1"/>
  <c r="H582" i="3" s="1"/>
  <c r="K582" i="3" s="1"/>
  <c r="AE582" i="3" s="1"/>
  <c r="AG582" i="3"/>
  <c r="D582" i="3"/>
  <c r="V582" i="3" l="1"/>
  <c r="A583" i="3"/>
  <c r="B583" i="3" s="1"/>
  <c r="F582" i="3"/>
  <c r="G582" i="3"/>
  <c r="I582" i="3" l="1"/>
  <c r="W582" i="3" s="1"/>
  <c r="J582" i="3"/>
  <c r="AD582" i="3" s="1"/>
  <c r="M582" i="3"/>
  <c r="N582" i="3" s="1"/>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AD583" i="3" s="1"/>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AD587" i="3" s="1"/>
  <c r="M587" i="3"/>
  <c r="N587" i="3" s="1"/>
  <c r="L587" i="3" l="1"/>
  <c r="V587" i="3"/>
  <c r="W587" i="3" s="1"/>
  <c r="A588" i="3"/>
  <c r="B588" i="3" s="1"/>
  <c r="U587" i="3" l="1"/>
  <c r="Y586" i="3"/>
  <c r="P588" i="3"/>
  <c r="Q588" i="3" s="1"/>
  <c r="R588" i="3" s="1"/>
  <c r="S588" i="3" s="1"/>
  <c r="Z588" i="3"/>
  <c r="AC588" i="3"/>
  <c r="AA588" i="3"/>
  <c r="T588" i="3" l="1"/>
  <c r="AH588" i="3" s="1"/>
  <c r="E588" i="3" l="1"/>
  <c r="H588" i="3" s="1"/>
  <c r="K588" i="3" s="1"/>
  <c r="AE588" i="3" s="1"/>
  <c r="AG588" i="3"/>
  <c r="D588" i="3"/>
  <c r="G588" i="3" s="1"/>
  <c r="F588" i="3" l="1"/>
  <c r="I588" i="3"/>
  <c r="J588" i="3"/>
  <c r="AD588" i="3" s="1"/>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P592" i="3"/>
  <c r="Q592" i="3" s="1"/>
  <c r="R592" i="3" s="1"/>
  <c r="S592" i="3" s="1"/>
  <c r="U591" i="3" l="1"/>
  <c r="Y590" i="3"/>
  <c r="T592" i="3"/>
  <c r="D592" i="3" l="1"/>
  <c r="G592" i="3" s="1"/>
  <c r="AH592" i="3"/>
  <c r="AG592" i="3"/>
  <c r="E592" i="3"/>
  <c r="H592" i="3" s="1"/>
  <c r="K592" i="3" s="1"/>
  <c r="AE592" i="3" s="1"/>
  <c r="F592" i="3" l="1"/>
  <c r="I592" i="3"/>
  <c r="J592" i="3"/>
  <c r="AD592" i="3" s="1"/>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T595" i="3" l="1"/>
  <c r="L594" i="3"/>
  <c r="AH595" i="3" l="1"/>
  <c r="U594" i="3"/>
  <c r="E595" i="3" s="1"/>
  <c r="H595" i="3" s="1"/>
  <c r="AG595" i="3"/>
  <c r="Y593" i="3"/>
  <c r="D595" i="3" l="1"/>
  <c r="G595" i="3" s="1"/>
  <c r="K595" i="3"/>
  <c r="AE595" i="3" s="1"/>
  <c r="F595" i="3" l="1"/>
  <c r="V595" i="3"/>
  <c r="A596" i="3"/>
  <c r="B596" i="3" s="1"/>
  <c r="I595" i="3"/>
  <c r="J595" i="3"/>
  <c r="AD595" i="3" s="1"/>
  <c r="M595" i="3"/>
  <c r="N595" i="3" s="1"/>
  <c r="W595" i="3" l="1"/>
  <c r="L595" i="3"/>
  <c r="P596" i="3"/>
  <c r="Q596" i="3" s="1"/>
  <c r="R596" i="3" s="1"/>
  <c r="S596" i="3" s="1"/>
  <c r="AA596" i="3"/>
  <c r="AC596" i="3"/>
  <c r="Z596" i="3"/>
  <c r="T596" i="3" l="1"/>
  <c r="AG596" i="3" s="1"/>
  <c r="U595" i="3"/>
  <c r="Y594" i="3"/>
  <c r="D596" i="3" l="1"/>
  <c r="E596" i="3"/>
  <c r="H596" i="3" s="1"/>
  <c r="AH596" i="3"/>
  <c r="F596" i="3" l="1"/>
  <c r="G596" i="3"/>
  <c r="K596" i="3"/>
  <c r="AE596" i="3" s="1"/>
  <c r="V596" i="3" l="1"/>
  <c r="A597" i="3"/>
  <c r="B597" i="3" s="1"/>
  <c r="I596" i="3"/>
  <c r="J596" i="3"/>
  <c r="AD596" i="3" s="1"/>
  <c r="M596" i="3"/>
  <c r="N596" i="3" s="1"/>
  <c r="W596" i="3" l="1"/>
  <c r="L596" i="3"/>
  <c r="Z597" i="3"/>
  <c r="P597" i="3"/>
  <c r="Q597" i="3" s="1"/>
  <c r="R597" i="3" s="1"/>
  <c r="S597" i="3" s="1"/>
  <c r="AA597" i="3"/>
  <c r="AC597" i="3"/>
  <c r="U596" i="3" l="1"/>
  <c r="Y595" i="3"/>
  <c r="T597" i="3"/>
  <c r="E597" i="3" l="1"/>
  <c r="H597" i="3" s="1"/>
  <c r="K597" i="3" s="1"/>
  <c r="AE597" i="3" s="1"/>
  <c r="AH597" i="3"/>
  <c r="AG597" i="3"/>
  <c r="D597" i="3"/>
  <c r="G597" i="3" s="1"/>
  <c r="F597" i="3" l="1"/>
  <c r="I597" i="3"/>
  <c r="J597" i="3"/>
  <c r="AD597" i="3" s="1"/>
  <c r="M597" i="3"/>
  <c r="N597" i="3" s="1"/>
  <c r="V597" i="3"/>
  <c r="A598" i="3"/>
  <c r="B598" i="3" s="1"/>
  <c r="W597" i="3" l="1"/>
  <c r="L597" i="3"/>
  <c r="AC598" i="3"/>
  <c r="P598" i="3"/>
  <c r="Q598" i="3" s="1"/>
  <c r="R598" i="3" s="1"/>
  <c r="S598" i="3" s="1"/>
  <c r="Z598" i="3"/>
  <c r="AA598" i="3"/>
  <c r="U597" i="3" l="1"/>
  <c r="Y596" i="3"/>
  <c r="T598" i="3"/>
  <c r="AG598" i="3" s="1"/>
  <c r="AH598" i="3" l="1"/>
  <c r="E598" i="3"/>
  <c r="H598" i="3" s="1"/>
  <c r="K598" i="3" s="1"/>
  <c r="AE598" i="3" s="1"/>
  <c r="D598" i="3"/>
  <c r="V598" i="3" l="1"/>
  <c r="A599" i="3"/>
  <c r="B599" i="3" s="1"/>
  <c r="F598" i="3"/>
  <c r="G598" i="3"/>
  <c r="I598" i="3" l="1"/>
  <c r="W598" i="3" s="1"/>
  <c r="J598" i="3"/>
  <c r="AD598" i="3" s="1"/>
  <c r="M598" i="3"/>
  <c r="N598" i="3" s="1"/>
  <c r="AC599" i="3"/>
  <c r="AA599" i="3"/>
  <c r="P599" i="3"/>
  <c r="Q599" i="3" s="1"/>
  <c r="R599" i="3" s="1"/>
  <c r="S599" i="3" s="1"/>
  <c r="Z599" i="3"/>
  <c r="T599" i="3" l="1"/>
  <c r="L598" i="3"/>
  <c r="U598" i="3" l="1"/>
  <c r="D599" i="3" s="1"/>
  <c r="AG599" i="3"/>
  <c r="AH599" i="3"/>
  <c r="Y597" i="3"/>
  <c r="G599" i="3" l="1"/>
  <c r="E599" i="3"/>
  <c r="H599" i="3" s="1"/>
  <c r="I599" i="3" l="1"/>
  <c r="J599" i="3"/>
  <c r="AD599" i="3" s="1"/>
  <c r="M599" i="3"/>
  <c r="N599" i="3" s="1"/>
  <c r="K599" i="3"/>
  <c r="AE599" i="3" s="1"/>
  <c r="F599" i="3"/>
  <c r="V599" i="3" l="1"/>
  <c r="W599" i="3" s="1"/>
  <c r="A600" i="3"/>
  <c r="B600" i="3" s="1"/>
  <c r="L599" i="3"/>
  <c r="U599" i="3" l="1"/>
  <c r="Y598" i="3"/>
  <c r="AC600" i="3"/>
  <c r="P600" i="3"/>
  <c r="Q600" i="3" s="1"/>
  <c r="R600" i="3" s="1"/>
  <c r="S600" i="3" s="1"/>
  <c r="Z600" i="3"/>
  <c r="AA600" i="3"/>
  <c r="T600" i="3" l="1"/>
  <c r="E600" i="3" s="1"/>
  <c r="H600" i="3" s="1"/>
  <c r="AH600" i="3" l="1"/>
  <c r="K600" i="3"/>
  <c r="AE600" i="3" s="1"/>
  <c r="AG600" i="3"/>
  <c r="D600" i="3"/>
  <c r="V600" i="3" l="1"/>
  <c r="A601" i="3"/>
  <c r="B601" i="3" s="1"/>
  <c r="F600" i="3"/>
  <c r="G600" i="3"/>
  <c r="I600" i="3" l="1"/>
  <c r="W600" i="3" s="1"/>
  <c r="J600" i="3"/>
  <c r="AD600" i="3" s="1"/>
  <c r="M600" i="3"/>
  <c r="N600" i="3" s="1"/>
  <c r="P601" i="3"/>
  <c r="Q601" i="3" s="1"/>
  <c r="R601" i="3" s="1"/>
  <c r="S601" i="3" s="1"/>
  <c r="AA601" i="3"/>
  <c r="AC601" i="3"/>
  <c r="Z601" i="3"/>
  <c r="T601" i="3" l="1"/>
  <c r="L600" i="3"/>
  <c r="AH601" i="3" l="1"/>
  <c r="U600" i="3"/>
  <c r="D601" i="3" s="1"/>
  <c r="AG601" i="3"/>
  <c r="Y599" i="3"/>
  <c r="E601" i="3" l="1"/>
  <c r="H601" i="3" s="1"/>
  <c r="K601" i="3" s="1"/>
  <c r="AE601" i="3" s="1"/>
  <c r="G601" i="3"/>
  <c r="F601" i="3" l="1"/>
  <c r="I601" i="3"/>
  <c r="J601" i="3"/>
  <c r="AD601" i="3" s="1"/>
  <c r="M601" i="3"/>
  <c r="N601" i="3" s="1"/>
  <c r="V601" i="3"/>
  <c r="A602" i="3"/>
  <c r="B602" i="3" s="1"/>
  <c r="W601" i="3" l="1"/>
  <c r="L601" i="3"/>
  <c r="P602" i="3"/>
  <c r="Q602" i="3" s="1"/>
  <c r="R602" i="3" s="1"/>
  <c r="S602" i="3" s="1"/>
  <c r="Z602" i="3"/>
  <c r="AC602" i="3"/>
  <c r="AA602" i="3"/>
  <c r="U601" i="3" l="1"/>
  <c r="Y600" i="3"/>
  <c r="T602" i="3"/>
  <c r="AG602" i="3" s="1"/>
  <c r="D602" i="3" l="1"/>
  <c r="E602" i="3"/>
  <c r="H602" i="3" s="1"/>
  <c r="AH602" i="3"/>
  <c r="K602" i="3" l="1"/>
  <c r="AE602" i="3" s="1"/>
  <c r="F602" i="3"/>
  <c r="G602" i="3"/>
  <c r="I602" i="3" l="1"/>
  <c r="J602" i="3"/>
  <c r="AD602" i="3" s="1"/>
  <c r="M602" i="3"/>
  <c r="N602" i="3" s="1"/>
  <c r="V602" i="3"/>
  <c r="A603" i="3"/>
  <c r="B603" i="3" s="1"/>
  <c r="W602" i="3" l="1"/>
  <c r="L602" i="3"/>
  <c r="AA603" i="3"/>
  <c r="AC603" i="3"/>
  <c r="Z603" i="3"/>
  <c r="P603" i="3"/>
  <c r="Q603" i="3" s="1"/>
  <c r="R603" i="3" s="1"/>
  <c r="S603" i="3" s="1"/>
  <c r="U602" i="3" l="1"/>
  <c r="Y601" i="3"/>
  <c r="T603" i="3"/>
  <c r="AG603" i="3" s="1"/>
  <c r="AH603" i="3" l="1"/>
  <c r="D603" i="3"/>
  <c r="G603" i="3" s="1"/>
  <c r="E603" i="3"/>
  <c r="H603" i="3" s="1"/>
  <c r="K603" i="3" s="1"/>
  <c r="AE603" i="3" s="1"/>
  <c r="F603" i="3" l="1"/>
  <c r="I603" i="3"/>
  <c r="J603" i="3"/>
  <c r="AD603" i="3" s="1"/>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AD607" i="3" s="1"/>
  <c r="M607" i="3"/>
  <c r="N607" i="3" s="1"/>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AD608" i="3" s="1"/>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C612" i="3"/>
  <c r="AA612" i="3"/>
  <c r="T612" i="3" l="1"/>
  <c r="L611" i="3"/>
  <c r="U611" i="3" l="1"/>
  <c r="E612" i="3" s="1"/>
  <c r="H612" i="3" s="1"/>
  <c r="AH612" i="3"/>
  <c r="AG612" i="3"/>
  <c r="Y610" i="3"/>
  <c r="D612" i="3" l="1"/>
  <c r="G612" i="3" s="1"/>
  <c r="K612" i="3"/>
  <c r="AE612" i="3" s="1"/>
  <c r="F612" i="3" l="1"/>
  <c r="V612" i="3"/>
  <c r="A613" i="3"/>
  <c r="B613" i="3" s="1"/>
  <c r="I612" i="3"/>
  <c r="J612" i="3"/>
  <c r="AD612" i="3" s="1"/>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P617" i="3"/>
  <c r="Q617" i="3" s="1"/>
  <c r="R617" i="3" s="1"/>
  <c r="S617" i="3" s="1"/>
  <c r="AA617" i="3"/>
  <c r="U616" i="3" l="1"/>
  <c r="Y615" i="3"/>
  <c r="T617" i="3"/>
  <c r="AG617" i="3" s="1"/>
  <c r="D617" i="3" l="1"/>
  <c r="G617" i="3" s="1"/>
  <c r="E617" i="3"/>
  <c r="H617" i="3" s="1"/>
  <c r="K617" i="3" s="1"/>
  <c r="AE617" i="3" s="1"/>
  <c r="AH617" i="3"/>
  <c r="F617" i="3" l="1"/>
  <c r="I617" i="3"/>
  <c r="J617" i="3"/>
  <c r="AD617" i="3" s="1"/>
  <c r="M617" i="3"/>
  <c r="N617" i="3" s="1"/>
  <c r="V617" i="3"/>
  <c r="A618" i="3"/>
  <c r="B618" i="3" s="1"/>
  <c r="W617" i="3" l="1"/>
  <c r="L617" i="3"/>
  <c r="P618" i="3"/>
  <c r="Q618" i="3" s="1"/>
  <c r="R618" i="3" s="1"/>
  <c r="S618" i="3" s="1"/>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AD618" i="3" s="1"/>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T622" i="3" l="1"/>
  <c r="AG622" i="3" s="1"/>
  <c r="D622" i="3" l="1"/>
  <c r="E622" i="3"/>
  <c r="H622" i="3" s="1"/>
  <c r="K622" i="3" s="1"/>
  <c r="AE622" i="3" s="1"/>
  <c r="AH622" i="3"/>
  <c r="F622" i="3" l="1"/>
  <c r="G622" i="3"/>
  <c r="I622" i="3" s="1"/>
  <c r="V622" i="3"/>
  <c r="A623" i="3"/>
  <c r="B623" i="3" s="1"/>
  <c r="M622" i="3" l="1"/>
  <c r="N622" i="3" s="1"/>
  <c r="J622" i="3"/>
  <c r="W622" i="3"/>
  <c r="P623" i="3"/>
  <c r="Q623" i="3" s="1"/>
  <c r="R623" i="3" s="1"/>
  <c r="S623" i="3" s="1"/>
  <c r="Z623" i="3"/>
  <c r="AD623" i="3"/>
  <c r="AA623" i="3"/>
  <c r="AC623" i="3"/>
  <c r="L622" i="3" l="1"/>
  <c r="AD622" i="3"/>
  <c r="U622" i="3"/>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P627" i="3"/>
  <c r="Q627" i="3" s="1"/>
  <c r="R627" i="3" s="1"/>
  <c r="S627" i="3" s="1"/>
  <c r="AC627" i="3"/>
  <c r="AA627" i="3"/>
  <c r="L626" i="3" l="1"/>
  <c r="T627" i="3"/>
  <c r="AG627" i="3" l="1"/>
  <c r="U626" i="3"/>
  <c r="D627" i="3" s="1"/>
  <c r="AH627" i="3"/>
  <c r="Y625" i="3"/>
  <c r="G627" i="3" l="1"/>
  <c r="E627" i="3"/>
  <c r="H627" i="3" s="1"/>
  <c r="K627" i="3" l="1"/>
  <c r="AE627" i="3" s="1"/>
  <c r="I627" i="3"/>
  <c r="J627" i="3"/>
  <c r="AD627" i="3" s="1"/>
  <c r="M627" i="3"/>
  <c r="N627" i="3" s="1"/>
  <c r="F627" i="3"/>
  <c r="L627" i="3" l="1"/>
  <c r="V627" i="3"/>
  <c r="W627" i="3" s="1"/>
  <c r="A628" i="3"/>
  <c r="B628" i="3" s="1"/>
  <c r="Z628" i="3" l="1"/>
  <c r="AA628" i="3"/>
  <c r="P628" i="3"/>
  <c r="Q628" i="3" s="1"/>
  <c r="R628" i="3" s="1"/>
  <c r="S628" i="3" s="1"/>
  <c r="AC628" i="3"/>
  <c r="U627" i="3"/>
  <c r="Y626" i="3"/>
  <c r="T628" i="3" l="1"/>
  <c r="D628" i="3" l="1"/>
  <c r="E628" i="3"/>
  <c r="H628" i="3" s="1"/>
  <c r="AG628" i="3"/>
  <c r="AH628" i="3"/>
  <c r="F628" i="3" l="1"/>
  <c r="G628" i="3"/>
  <c r="K628" i="3"/>
  <c r="AE628" i="3" s="1"/>
  <c r="I628" i="3" l="1"/>
  <c r="J628" i="3"/>
  <c r="AD628" i="3" s="1"/>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T632" i="3" l="1"/>
  <c r="U631" i="3"/>
  <c r="Y630" i="3"/>
  <c r="D632" i="3" l="1"/>
  <c r="G632" i="3" s="1"/>
  <c r="E632" i="3"/>
  <c r="H632" i="3" s="1"/>
  <c r="K632" i="3" s="1"/>
  <c r="AE632" i="3" s="1"/>
  <c r="AG632" i="3"/>
  <c r="AH632" i="3"/>
  <c r="F632" i="3" l="1"/>
  <c r="I632" i="3"/>
  <c r="J632" i="3"/>
  <c r="AD632" i="3" s="1"/>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A637" i="3"/>
  <c r="U636" i="3" l="1"/>
  <c r="Y635" i="3"/>
  <c r="T637" i="3"/>
  <c r="AG637" i="3" s="1"/>
  <c r="D637" i="3" l="1"/>
  <c r="AH637" i="3"/>
  <c r="E637" i="3"/>
  <c r="H637" i="3" s="1"/>
  <c r="F637" i="3" l="1"/>
  <c r="G637" i="3"/>
  <c r="K637" i="3"/>
  <c r="AE637" i="3" s="1"/>
  <c r="I637" i="3" l="1"/>
  <c r="J637" i="3"/>
  <c r="AD637" i="3" s="1"/>
  <c r="M637" i="3"/>
  <c r="N637" i="3" s="1"/>
  <c r="V637" i="3"/>
  <c r="A638" i="3"/>
  <c r="B638" i="3" s="1"/>
  <c r="W637" i="3" l="1"/>
  <c r="L637" i="3"/>
  <c r="P638" i="3"/>
  <c r="Q638" i="3" s="1"/>
  <c r="R638" i="3" s="1"/>
  <c r="S638" i="3" s="1"/>
  <c r="AC638" i="3"/>
  <c r="AA638" i="3"/>
  <c r="Z638" i="3"/>
  <c r="T638" i="3" l="1"/>
  <c r="AG638" i="3" s="1"/>
  <c r="U637" i="3"/>
  <c r="Y636" i="3"/>
  <c r="D638" i="3" l="1"/>
  <c r="G638" i="3" s="1"/>
  <c r="E638" i="3"/>
  <c r="H638" i="3" s="1"/>
  <c r="AH638" i="3"/>
  <c r="F638" i="3" l="1"/>
  <c r="I638" i="3"/>
  <c r="J638" i="3"/>
  <c r="AD638" i="3" s="1"/>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P642" i="3"/>
  <c r="Q642" i="3" s="1"/>
  <c r="R642" i="3" s="1"/>
  <c r="S642" i="3" s="1"/>
  <c r="AC642" i="3"/>
  <c r="AA642" i="3"/>
  <c r="T642" i="3" l="1"/>
  <c r="L641" i="3"/>
  <c r="U641" i="3" l="1"/>
  <c r="D642" i="3" s="1"/>
  <c r="AG642" i="3"/>
  <c r="AH642" i="3"/>
  <c r="Y640" i="3"/>
  <c r="E642" i="3" l="1"/>
  <c r="H642" i="3" s="1"/>
  <c r="K642" i="3" s="1"/>
  <c r="AE642" i="3" s="1"/>
  <c r="G642" i="3"/>
  <c r="F642" i="3" l="1"/>
  <c r="I642" i="3"/>
  <c r="J642" i="3"/>
  <c r="AD642" i="3" s="1"/>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Z647" i="3"/>
  <c r="U646" i="3" l="1"/>
  <c r="Y645" i="3"/>
  <c r="T647" i="3"/>
  <c r="AG647" i="3" s="1"/>
  <c r="E647" i="3" l="1"/>
  <c r="H647" i="3" s="1"/>
  <c r="D647" i="3"/>
  <c r="AH647" i="3"/>
  <c r="F647" i="3" l="1"/>
  <c r="G647" i="3"/>
  <c r="K647" i="3"/>
  <c r="AE647" i="3" s="1"/>
  <c r="V647" i="3" l="1"/>
  <c r="A648" i="3"/>
  <c r="B648" i="3" s="1"/>
  <c r="I647" i="3"/>
  <c r="J647" i="3"/>
  <c r="AD647" i="3" s="1"/>
  <c r="M647" i="3"/>
  <c r="N647" i="3" s="1"/>
  <c r="W647" i="3" l="1"/>
  <c r="L647" i="3"/>
  <c r="AC648" i="3"/>
  <c r="AA648" i="3"/>
  <c r="P648" i="3"/>
  <c r="Q648" i="3" s="1"/>
  <c r="R648" i="3" s="1"/>
  <c r="S648" i="3" s="1"/>
  <c r="Z648" i="3"/>
  <c r="T648" i="3" l="1"/>
  <c r="AH648" i="3" s="1"/>
  <c r="U647" i="3"/>
  <c r="Y646" i="3"/>
  <c r="D648" i="3" l="1"/>
  <c r="AG648" i="3"/>
  <c r="E648" i="3"/>
  <c r="H648" i="3" s="1"/>
  <c r="F648" i="3" l="1"/>
  <c r="G648" i="3"/>
  <c r="K648" i="3"/>
  <c r="AE648" i="3" s="1"/>
  <c r="I648" i="3" l="1"/>
  <c r="J648" i="3"/>
  <c r="AD648" i="3" s="1"/>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U651" i="3" l="1"/>
  <c r="Y650" i="3"/>
  <c r="T652" i="3"/>
  <c r="E652" i="3" l="1"/>
  <c r="H652" i="3" s="1"/>
  <c r="K652" i="3" s="1"/>
  <c r="AE652" i="3" s="1"/>
  <c r="AH652" i="3"/>
  <c r="AG652" i="3"/>
  <c r="D652" i="3"/>
  <c r="G652" i="3" s="1"/>
  <c r="F652" i="3" l="1"/>
  <c r="V652" i="3"/>
  <c r="A653" i="3"/>
  <c r="B653" i="3" s="1"/>
  <c r="I652" i="3"/>
  <c r="J652" i="3"/>
  <c r="AD652" i="3" s="1"/>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P657" i="3"/>
  <c r="Q657" i="3" s="1"/>
  <c r="R657" i="3" s="1"/>
  <c r="S657" i="3" s="1"/>
  <c r="AA657" i="3"/>
  <c r="Z657" i="3"/>
  <c r="L656" i="3" l="1"/>
  <c r="T657" i="3"/>
  <c r="AH657" i="3" l="1"/>
  <c r="U656" i="3"/>
  <c r="E657" i="3" s="1"/>
  <c r="H657" i="3" s="1"/>
  <c r="AG657" i="3"/>
  <c r="Y655" i="3"/>
  <c r="D657" i="3" l="1"/>
  <c r="G657" i="3" s="1"/>
  <c r="K657" i="3"/>
  <c r="AE657" i="3" s="1"/>
  <c r="F657" i="3" l="1"/>
  <c r="I657" i="3"/>
  <c r="J657" i="3"/>
  <c r="AD657" i="3" s="1"/>
  <c r="M657" i="3"/>
  <c r="N657" i="3" s="1"/>
  <c r="V657" i="3"/>
  <c r="A658" i="3"/>
  <c r="B658" i="3" s="1"/>
  <c r="W657" i="3" l="1"/>
  <c r="L657" i="3"/>
  <c r="AC658" i="3"/>
  <c r="Z658" i="3"/>
  <c r="AA658" i="3"/>
  <c r="P658" i="3"/>
  <c r="Q658" i="3" s="1"/>
  <c r="R658" i="3" s="1"/>
  <c r="S658" i="3" s="1"/>
  <c r="U657" i="3" l="1"/>
  <c r="Y656" i="3"/>
  <c r="T658" i="3"/>
  <c r="AG658" i="3" s="1"/>
  <c r="E658" i="3" l="1"/>
  <c r="H658" i="3" s="1"/>
  <c r="D658" i="3"/>
  <c r="AH658" i="3"/>
  <c r="K658" i="3" l="1"/>
  <c r="AE658" i="3" s="1"/>
  <c r="F658" i="3"/>
  <c r="G658" i="3"/>
  <c r="I658" i="3" l="1"/>
  <c r="J658" i="3"/>
  <c r="AD658" i="3" s="1"/>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A662" i="3"/>
  <c r="AC662" i="3"/>
  <c r="T662" i="3" l="1"/>
  <c r="L661" i="3"/>
  <c r="AH662" i="3" l="1"/>
  <c r="AG662" i="3"/>
  <c r="U661" i="3"/>
  <c r="E662" i="3" s="1"/>
  <c r="H662" i="3" s="1"/>
  <c r="Y660" i="3"/>
  <c r="D662" i="3" l="1"/>
  <c r="F662" i="3" s="1"/>
  <c r="K662" i="3"/>
  <c r="AE662" i="3" s="1"/>
  <c r="G662" i="3" l="1"/>
  <c r="I662" i="3" s="1"/>
  <c r="V662" i="3"/>
  <c r="A663" i="3"/>
  <c r="B663" i="3" s="1"/>
  <c r="J662" i="3" l="1"/>
  <c r="M662" i="3"/>
  <c r="N662" i="3" s="1"/>
  <c r="W662" i="3"/>
  <c r="AA663" i="3"/>
  <c r="Z663" i="3"/>
  <c r="P663" i="3"/>
  <c r="Q663" i="3" s="1"/>
  <c r="R663" i="3" s="1"/>
  <c r="S663" i="3" s="1"/>
  <c r="AC663" i="3"/>
  <c r="AD663" i="3"/>
  <c r="L662" i="3" l="1"/>
  <c r="AD662" i="3"/>
  <c r="U662" i="3"/>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A667" i="3"/>
  <c r="U666" i="3" l="1"/>
  <c r="Y665" i="3"/>
  <c r="T667" i="3"/>
  <c r="AG667" i="3" s="1"/>
  <c r="D667" i="3" l="1"/>
  <c r="E667" i="3"/>
  <c r="H667" i="3" s="1"/>
  <c r="AH667" i="3"/>
  <c r="F667" i="3" l="1"/>
  <c r="G667" i="3"/>
  <c r="K667" i="3"/>
  <c r="AE667" i="3" s="1"/>
  <c r="I667" i="3" l="1"/>
  <c r="J667" i="3"/>
  <c r="AD667" i="3" s="1"/>
  <c r="M667" i="3"/>
  <c r="N667" i="3" s="1"/>
  <c r="V667" i="3"/>
  <c r="A668" i="3"/>
  <c r="B668" i="3" s="1"/>
  <c r="W667" i="3" l="1"/>
  <c r="L667" i="3"/>
  <c r="Z668" i="3"/>
  <c r="P668" i="3"/>
  <c r="Q668" i="3" s="1"/>
  <c r="R668" i="3" s="1"/>
  <c r="S668" i="3" s="1"/>
  <c r="AC668" i="3"/>
  <c r="AA668" i="3"/>
  <c r="T668" i="3" l="1"/>
  <c r="AH668" i="3" s="1"/>
  <c r="U667" i="3"/>
  <c r="Y666" i="3"/>
  <c r="D668" i="3" l="1"/>
  <c r="G668" i="3" s="1"/>
  <c r="AG668" i="3"/>
  <c r="E668" i="3"/>
  <c r="H668" i="3" s="1"/>
  <c r="F668" i="3" l="1"/>
  <c r="I668" i="3"/>
  <c r="J668" i="3"/>
  <c r="AD668" i="3" s="1"/>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A675" i="3"/>
  <c r="AC675" i="3"/>
  <c r="Z675" i="3"/>
  <c r="U674" i="3" l="1"/>
  <c r="Y673" i="3"/>
  <c r="T675" i="3"/>
  <c r="AH675" i="3" s="1"/>
  <c r="AG675" i="3" l="1"/>
  <c r="D675" i="3"/>
  <c r="E675" i="3"/>
  <c r="H675" i="3" s="1"/>
  <c r="F675" i="3" l="1"/>
  <c r="G675" i="3"/>
  <c r="K675" i="3"/>
  <c r="AE675" i="3" s="1"/>
  <c r="I675" i="3" l="1"/>
  <c r="J675" i="3"/>
  <c r="AD675" i="3" s="1"/>
  <c r="M675" i="3"/>
  <c r="N675" i="3" s="1"/>
  <c r="V675" i="3"/>
  <c r="A676" i="3"/>
  <c r="B676" i="3" s="1"/>
  <c r="W675" i="3" l="1"/>
  <c r="L675" i="3"/>
  <c r="AC676" i="3"/>
  <c r="P676" i="3"/>
  <c r="Q676" i="3" s="1"/>
  <c r="R676" i="3" s="1"/>
  <c r="S676" i="3" s="1"/>
  <c r="Z676" i="3"/>
  <c r="AA676" i="3"/>
  <c r="T676" i="3" l="1"/>
  <c r="U675" i="3"/>
  <c r="Y674" i="3"/>
  <c r="E676" i="3" l="1"/>
  <c r="H676" i="3" s="1"/>
  <c r="K676" i="3" s="1"/>
  <c r="AE676" i="3" s="1"/>
  <c r="AH676" i="3"/>
  <c r="D676" i="3"/>
  <c r="G676" i="3" s="1"/>
  <c r="AG676" i="3"/>
  <c r="F676" i="3" l="1"/>
  <c r="I676" i="3"/>
  <c r="J676" i="3"/>
  <c r="AD676" i="3" s="1"/>
  <c r="M676" i="3"/>
  <c r="N676" i="3" s="1"/>
  <c r="V676" i="3"/>
  <c r="A677" i="3"/>
  <c r="B677" i="3" s="1"/>
  <c r="W676" i="3" l="1"/>
  <c r="L676" i="3"/>
  <c r="AA677" i="3"/>
  <c r="AC677" i="3"/>
  <c r="Z677" i="3"/>
  <c r="P677" i="3"/>
  <c r="Q677" i="3" s="1"/>
  <c r="R677" i="3" s="1"/>
  <c r="S677" i="3" s="1"/>
  <c r="U676" i="3" l="1"/>
  <c r="Y675" i="3"/>
  <c r="T677" i="3"/>
  <c r="AG677" i="3" s="1"/>
  <c r="D677" i="3" l="1"/>
  <c r="G677" i="3" s="1"/>
  <c r="AH677" i="3"/>
  <c r="E677" i="3"/>
  <c r="H677" i="3" s="1"/>
  <c r="F677" i="3" l="1"/>
  <c r="I677" i="3"/>
  <c r="J677" i="3"/>
  <c r="AD677" i="3" s="1"/>
  <c r="M677" i="3"/>
  <c r="N677" i="3" s="1"/>
  <c r="K677" i="3"/>
  <c r="AE677" i="3" s="1"/>
  <c r="V677" i="3" l="1"/>
  <c r="W677" i="3" s="1"/>
  <c r="A678" i="3"/>
  <c r="B678" i="3" s="1"/>
  <c r="L677" i="3"/>
  <c r="U677" i="3" l="1"/>
  <c r="Y676" i="3"/>
  <c r="P678" i="3"/>
  <c r="Q678" i="3" s="1"/>
  <c r="R678" i="3" s="1"/>
  <c r="S678" i="3" s="1"/>
  <c r="Z678" i="3"/>
  <c r="AC678" i="3"/>
  <c r="AA678" i="3"/>
  <c r="T678" i="3" l="1"/>
  <c r="AH678" i="3" s="1"/>
  <c r="E678" i="3" l="1"/>
  <c r="H678" i="3" s="1"/>
  <c r="K678" i="3" s="1"/>
  <c r="AE678" i="3" s="1"/>
  <c r="D678" i="3"/>
  <c r="AG678" i="3"/>
  <c r="F678" i="3" l="1"/>
  <c r="G678" i="3"/>
  <c r="J678" i="3" s="1"/>
  <c r="AD678" i="3" s="1"/>
  <c r="V678" i="3"/>
  <c r="A679" i="3"/>
  <c r="B679" i="3" s="1"/>
  <c r="M678" i="3" l="1"/>
  <c r="N678" i="3" s="1"/>
  <c r="I678" i="3"/>
  <c r="W678" i="3" s="1"/>
  <c r="L678" i="3"/>
  <c r="P679" i="3"/>
  <c r="Q679" i="3" s="1"/>
  <c r="R679" i="3" s="1"/>
  <c r="S679" i="3" s="1"/>
  <c r="AA679" i="3"/>
  <c r="Z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I679" i="3"/>
  <c r="W679" i="3" s="1"/>
  <c r="J679" i="3"/>
  <c r="AD679" i="3" s="1"/>
  <c r="M679" i="3"/>
  <c r="N679" i="3" s="1"/>
  <c r="L679" i="3" l="1"/>
  <c r="T680" i="3"/>
  <c r="AH680" i="3" l="1"/>
  <c r="U679" i="3"/>
  <c r="E680" i="3" s="1"/>
  <c r="H680" i="3" s="1"/>
  <c r="AG680" i="3"/>
  <c r="Y678" i="3"/>
  <c r="D680" i="3" l="1"/>
  <c r="G680" i="3" s="1"/>
  <c r="K680" i="3"/>
  <c r="AE680" i="3" s="1"/>
  <c r="F680" i="3" l="1"/>
  <c r="I680" i="3"/>
  <c r="J680" i="3"/>
  <c r="AD680" i="3" s="1"/>
  <c r="M680" i="3"/>
  <c r="N680" i="3" s="1"/>
  <c r="V680" i="3"/>
  <c r="A681" i="3"/>
  <c r="B681" i="3" s="1"/>
  <c r="W680" i="3" l="1"/>
  <c r="L680"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Z682" i="3" l="1"/>
  <c r="P682" i="3"/>
  <c r="Q682" i="3" s="1"/>
  <c r="R682" i="3" s="1"/>
  <c r="S682" i="3" s="1"/>
  <c r="AC682" i="3"/>
  <c r="AA682" i="3"/>
  <c r="I681" i="3"/>
  <c r="W681" i="3" s="1"/>
  <c r="J681" i="3"/>
  <c r="AD681" i="3" s="1"/>
  <c r="M681" i="3"/>
  <c r="N681" i="3" s="1"/>
  <c r="L681" i="3" l="1"/>
  <c r="T682" i="3"/>
  <c r="U681" i="3" l="1"/>
  <c r="E682" i="3" s="1"/>
  <c r="H682" i="3" s="1"/>
  <c r="AG682" i="3"/>
  <c r="AH682" i="3"/>
  <c r="Y680" i="3"/>
  <c r="D682" i="3" l="1"/>
  <c r="G682" i="3" s="1"/>
  <c r="K682" i="3"/>
  <c r="AE682" i="3" s="1"/>
  <c r="F682" i="3" l="1"/>
  <c r="V682" i="3"/>
  <c r="A683" i="3"/>
  <c r="B683" i="3" s="1"/>
  <c r="I682" i="3"/>
  <c r="J682" i="3"/>
  <c r="AD682" i="3" s="1"/>
  <c r="M682" i="3"/>
  <c r="N682" i="3" s="1"/>
  <c r="W682" i="3" l="1"/>
  <c r="L682" i="3"/>
  <c r="P683" i="3"/>
  <c r="Q683" i="3" s="1"/>
  <c r="R683" i="3" s="1"/>
  <c r="S683" i="3" s="1"/>
  <c r="AC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AD683" i="3" s="1"/>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A687" i="3"/>
  <c r="AC687" i="3"/>
  <c r="U686" i="3" l="1"/>
  <c r="Y685" i="3"/>
  <c r="T687" i="3"/>
  <c r="AG687" i="3" s="1"/>
  <c r="AH687" i="3" l="1"/>
  <c r="D687" i="3"/>
  <c r="G687" i="3" s="1"/>
  <c r="E687" i="3"/>
  <c r="H687" i="3" s="1"/>
  <c r="K687" i="3" s="1"/>
  <c r="AE687" i="3" s="1"/>
  <c r="F687" i="3" l="1"/>
  <c r="I687" i="3"/>
  <c r="J687" i="3"/>
  <c r="AD687" i="3" s="1"/>
  <c r="M687" i="3"/>
  <c r="N687" i="3" s="1"/>
  <c r="V687" i="3"/>
  <c r="A688" i="3"/>
  <c r="B688" i="3" s="1"/>
  <c r="W687" i="3" l="1"/>
  <c r="L687" i="3"/>
  <c r="AC688" i="3"/>
  <c r="AA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AD688" i="3" s="1"/>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AD695" i="3" s="1"/>
  <c r="M695" i="3"/>
  <c r="N695" i="3" s="1"/>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AD696" i="3" s="1"/>
  <c r="M696" i="3"/>
  <c r="N696" i="3" s="1"/>
  <c r="W696" i="3" l="1"/>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AA698" i="3"/>
  <c r="Z698" i="3"/>
  <c r="AC698" i="3"/>
  <c r="P698" i="3"/>
  <c r="Q698" i="3" s="1"/>
  <c r="R698" i="3" s="1"/>
  <c r="S698" i="3" s="1"/>
  <c r="L697" i="3" l="1"/>
  <c r="U697" i="3" s="1"/>
  <c r="AD697" i="3"/>
  <c r="T698" i="3"/>
  <c r="Y696" i="3" l="1"/>
  <c r="AG698" i="3"/>
  <c r="E698" i="3"/>
  <c r="H698" i="3" s="1"/>
  <c r="K698" i="3" s="1"/>
  <c r="AE698" i="3" s="1"/>
  <c r="AH698" i="3"/>
  <c r="D698" i="3"/>
  <c r="F698" i="3" l="1"/>
  <c r="G698" i="3"/>
  <c r="J698" i="3" s="1"/>
  <c r="AD698" i="3" s="1"/>
  <c r="V698" i="3"/>
  <c r="A699" i="3"/>
  <c r="B699" i="3" s="1"/>
  <c r="M698" i="3" l="1"/>
  <c r="N698" i="3" s="1"/>
  <c r="I698" i="3"/>
  <c r="W698" i="3" s="1"/>
  <c r="L698" i="3"/>
  <c r="Z699" i="3"/>
  <c r="P699" i="3"/>
  <c r="Q699" i="3" s="1"/>
  <c r="R699" i="3" s="1"/>
  <c r="S699" i="3" s="1"/>
  <c r="AA699" i="3"/>
  <c r="AC699" i="3"/>
  <c r="T699" i="3" l="1"/>
  <c r="U698" i="3"/>
  <c r="Y697" i="3"/>
  <c r="D699" i="3" l="1"/>
  <c r="G699" i="3" s="1"/>
  <c r="AG699" i="3"/>
  <c r="AH699" i="3"/>
  <c r="E699" i="3"/>
  <c r="H699" i="3" s="1"/>
  <c r="K699" i="3" l="1"/>
  <c r="AE699" i="3" s="1"/>
  <c r="I699" i="3"/>
  <c r="J699" i="3"/>
  <c r="AD699" i="3" s="1"/>
  <c r="M699" i="3"/>
  <c r="N699" i="3" s="1"/>
  <c r="F699" i="3"/>
  <c r="L699" i="3" l="1"/>
  <c r="V699" i="3"/>
  <c r="W699" i="3" s="1"/>
  <c r="A700" i="3"/>
  <c r="B700" i="3" s="1"/>
  <c r="U699" i="3" l="1"/>
  <c r="Y698" i="3"/>
  <c r="Z700" i="3"/>
  <c r="P700" i="3"/>
  <c r="Q700" i="3" s="1"/>
  <c r="R700" i="3" s="1"/>
  <c r="S700" i="3" s="1"/>
  <c r="AC700" i="3"/>
  <c r="AA700" i="3"/>
  <c r="T700" i="3" l="1"/>
  <c r="D700" i="3" s="1"/>
  <c r="AH700" i="3" l="1"/>
  <c r="AG700" i="3"/>
  <c r="E700" i="3"/>
  <c r="H700" i="3" s="1"/>
  <c r="K700" i="3" s="1"/>
  <c r="AE700" i="3" s="1"/>
  <c r="G700" i="3"/>
  <c r="F700" i="3" l="1"/>
  <c r="I700" i="3"/>
  <c r="J700" i="3"/>
  <c r="AD700" i="3" s="1"/>
  <c r="M700" i="3"/>
  <c r="N700" i="3" s="1"/>
  <c r="V700" i="3"/>
  <c r="A701" i="3"/>
  <c r="B701" i="3" s="1"/>
  <c r="W700" i="3" l="1"/>
  <c r="L700" i="3"/>
  <c r="AC701" i="3"/>
  <c r="AA701" i="3"/>
  <c r="Z701" i="3"/>
  <c r="P701" i="3"/>
  <c r="Q701" i="3" s="1"/>
  <c r="R701" i="3" s="1"/>
  <c r="S701" i="3" s="1"/>
  <c r="U700" i="3" l="1"/>
  <c r="Y699" i="3"/>
  <c r="T701" i="3"/>
  <c r="AG701" i="3" s="1"/>
  <c r="AH701" i="3" l="1"/>
  <c r="E701" i="3"/>
  <c r="H701" i="3" s="1"/>
  <c r="D701" i="3"/>
  <c r="F701" i="3" l="1"/>
  <c r="G701" i="3"/>
  <c r="K701" i="3"/>
  <c r="AE701" i="3" s="1"/>
  <c r="I701" i="3" l="1"/>
  <c r="J701" i="3"/>
  <c r="AD701" i="3" s="1"/>
  <c r="M701" i="3"/>
  <c r="N701" i="3" s="1"/>
  <c r="V701" i="3"/>
  <c r="A702" i="3"/>
  <c r="B702" i="3" s="1"/>
  <c r="W701" i="3" l="1"/>
  <c r="L701" i="3"/>
  <c r="AC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AD702" i="3" s="1"/>
  <c r="M702" i="3"/>
  <c r="N702" i="3" s="1"/>
  <c r="W702" i="3" l="1"/>
  <c r="L702" i="3"/>
  <c r="AC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AD703" i="3" s="1"/>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AD707" i="3" s="1"/>
  <c r="M707" i="3"/>
  <c r="N707" i="3" s="1"/>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AD708" i="3" s="1"/>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Z717" i="3"/>
  <c r="AA717" i="3"/>
  <c r="U716" i="3" l="1"/>
  <c r="Y715" i="3"/>
  <c r="T717" i="3"/>
  <c r="AG717" i="3" s="1"/>
  <c r="E717" i="3" l="1"/>
  <c r="H717" i="3" s="1"/>
  <c r="K717" i="3" s="1"/>
  <c r="AE717" i="3" s="1"/>
  <c r="AH717" i="3"/>
  <c r="D717" i="3"/>
  <c r="V717" i="3" l="1"/>
  <c r="A718" i="3"/>
  <c r="B718" i="3" s="1"/>
  <c r="F717" i="3"/>
  <c r="G717" i="3"/>
  <c r="I717" i="3" l="1"/>
  <c r="W717" i="3" s="1"/>
  <c r="J717" i="3"/>
  <c r="AD717" i="3" s="1"/>
  <c r="M717" i="3"/>
  <c r="N717" i="3" s="1"/>
  <c r="P718" i="3"/>
  <c r="Q718" i="3" s="1"/>
  <c r="R718" i="3" s="1"/>
  <c r="S718" i="3" s="1"/>
  <c r="AC718" i="3"/>
  <c r="Z718" i="3"/>
  <c r="AA718" i="3"/>
  <c r="L717" i="3" l="1"/>
  <c r="T718" i="3"/>
  <c r="U717" i="3" l="1"/>
  <c r="E718" i="3" s="1"/>
  <c r="H718" i="3" s="1"/>
  <c r="AH718" i="3"/>
  <c r="AG718" i="3"/>
  <c r="Y716" i="3"/>
  <c r="K718" i="3" l="1"/>
  <c r="AE718" i="3" s="1"/>
  <c r="D718" i="3"/>
  <c r="V718" i="3" l="1"/>
  <c r="A719" i="3"/>
  <c r="B719" i="3" s="1"/>
  <c r="F718" i="3"/>
  <c r="G718" i="3"/>
  <c r="I718" i="3" l="1"/>
  <c r="W718" i="3" s="1"/>
  <c r="J718" i="3"/>
  <c r="AD718" i="3" s="1"/>
  <c r="M718" i="3"/>
  <c r="N718" i="3" s="1"/>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AD719" i="3" s="1"/>
  <c r="M719" i="3"/>
  <c r="N719" i="3" s="1"/>
  <c r="V719" i="3"/>
  <c r="A720" i="3"/>
  <c r="B720" i="3" s="1"/>
  <c r="W719" i="3" l="1"/>
  <c r="L719" i="3"/>
  <c r="P720" i="3"/>
  <c r="Q720" i="3" s="1"/>
  <c r="R720" i="3" s="1"/>
  <c r="S720" i="3" s="1"/>
  <c r="AA720" i="3"/>
  <c r="AC720" i="3"/>
  <c r="Z720" i="3"/>
  <c r="U719" i="3" l="1"/>
  <c r="Y718" i="3"/>
  <c r="T720" i="3"/>
  <c r="AG720" i="3" s="1"/>
  <c r="E720" i="3" l="1"/>
  <c r="H720" i="3" s="1"/>
  <c r="K720" i="3" s="1"/>
  <c r="AE720" i="3" s="1"/>
  <c r="D720" i="3"/>
  <c r="AH720" i="3"/>
  <c r="V720" i="3" l="1"/>
  <c r="A721" i="3"/>
  <c r="B721" i="3" s="1"/>
  <c r="F720" i="3"/>
  <c r="G720" i="3"/>
  <c r="I720" i="3" l="1"/>
  <c r="W720" i="3" s="1"/>
  <c r="J720" i="3"/>
  <c r="AD720" i="3" s="1"/>
  <c r="M720" i="3"/>
  <c r="N720" i="3" s="1"/>
  <c r="AA721" i="3"/>
  <c r="Z721" i="3"/>
  <c r="AC721" i="3"/>
  <c r="P721" i="3"/>
  <c r="Q721" i="3" s="1"/>
  <c r="R721" i="3" s="1"/>
  <c r="S721" i="3" s="1"/>
  <c r="T721" i="3" l="1"/>
  <c r="L720" i="3"/>
  <c r="AG721" i="3" l="1"/>
  <c r="U720" i="3"/>
  <c r="D721" i="3" s="1"/>
  <c r="AH721" i="3"/>
  <c r="Y719" i="3"/>
  <c r="G721" i="3" l="1"/>
  <c r="E721" i="3"/>
  <c r="H721" i="3" s="1"/>
  <c r="F721" i="3" l="1"/>
  <c r="I721" i="3"/>
  <c r="J721" i="3"/>
  <c r="AD721" i="3" s="1"/>
  <c r="M721" i="3"/>
  <c r="N721" i="3" s="1"/>
  <c r="K721" i="3"/>
  <c r="AE721" i="3" s="1"/>
  <c r="V721" i="3" l="1"/>
  <c r="W721" i="3" s="1"/>
  <c r="A722" i="3"/>
  <c r="B722" i="3" s="1"/>
  <c r="L721" i="3"/>
  <c r="U721" i="3" l="1"/>
  <c r="Y720" i="3"/>
  <c r="AA722" i="3"/>
  <c r="AC722" i="3"/>
  <c r="P722" i="3"/>
  <c r="Q722" i="3" s="1"/>
  <c r="R722" i="3" s="1"/>
  <c r="S722" i="3" s="1"/>
  <c r="Z722" i="3"/>
  <c r="T722" i="3" l="1"/>
  <c r="AH722" i="3" s="1"/>
  <c r="E722" i="3" l="1"/>
  <c r="H722" i="3" s="1"/>
  <c r="K722" i="3" s="1"/>
  <c r="AE722" i="3" s="1"/>
  <c r="D722" i="3"/>
  <c r="AG722" i="3"/>
  <c r="V722" i="3" l="1"/>
  <c r="A723" i="3"/>
  <c r="B723" i="3" s="1"/>
  <c r="F722" i="3"/>
  <c r="G722" i="3"/>
  <c r="I722" i="3" l="1"/>
  <c r="W722" i="3" s="1"/>
  <c r="J722" i="3"/>
  <c r="AD722" i="3" s="1"/>
  <c r="M722" i="3"/>
  <c r="N722" i="3" s="1"/>
  <c r="Z723" i="3"/>
  <c r="AA723" i="3"/>
  <c r="AC723" i="3"/>
  <c r="P723" i="3"/>
  <c r="Q723" i="3" s="1"/>
  <c r="R723" i="3" s="1"/>
  <c r="S723" i="3" s="1"/>
  <c r="T723" i="3" l="1"/>
  <c r="L722" i="3"/>
  <c r="U722" i="3" l="1"/>
  <c r="E723" i="3" s="1"/>
  <c r="H723" i="3" s="1"/>
  <c r="AG723" i="3"/>
  <c r="AH723" i="3"/>
  <c r="Y721" i="3"/>
  <c r="D723" i="3" l="1"/>
  <c r="G723" i="3" s="1"/>
  <c r="K723" i="3"/>
  <c r="AE723" i="3" s="1"/>
  <c r="F723" i="3" l="1"/>
  <c r="V723" i="3"/>
  <c r="A724" i="3"/>
  <c r="B724" i="3" s="1"/>
  <c r="I723" i="3"/>
  <c r="J723" i="3"/>
  <c r="AD723" i="3" s="1"/>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U724" i="3" l="1"/>
  <c r="Y723" i="3"/>
  <c r="T725" i="3"/>
  <c r="AG725" i="3" s="1"/>
  <c r="AH725" i="3" l="1"/>
  <c r="D725" i="3"/>
  <c r="G725" i="3" s="1"/>
  <c r="E725" i="3"/>
  <c r="H725" i="3" s="1"/>
  <c r="F725" i="3" l="1"/>
  <c r="I725" i="3"/>
  <c r="J725" i="3"/>
  <c r="AD725" i="3" s="1"/>
  <c r="M725" i="3"/>
  <c r="N725" i="3" s="1"/>
  <c r="K725" i="3"/>
  <c r="AE725" i="3" s="1"/>
  <c r="V725" i="3" l="1"/>
  <c r="W725" i="3" s="1"/>
  <c r="A726" i="3"/>
  <c r="B726" i="3" s="1"/>
  <c r="L725" i="3"/>
  <c r="U725" i="3" l="1"/>
  <c r="Y724" i="3"/>
  <c r="Z726" i="3"/>
  <c r="P726" i="3"/>
  <c r="Q726" i="3" s="1"/>
  <c r="R726" i="3" s="1"/>
  <c r="S726" i="3" s="1"/>
  <c r="AA726" i="3"/>
  <c r="AC726" i="3"/>
  <c r="T726" i="3" l="1"/>
  <c r="AG726" i="3" s="1"/>
  <c r="D726" i="3" l="1"/>
  <c r="G726" i="3" s="1"/>
  <c r="E726" i="3"/>
  <c r="H726" i="3" s="1"/>
  <c r="K726" i="3" s="1"/>
  <c r="AE726" i="3" s="1"/>
  <c r="AH726" i="3"/>
  <c r="F726" i="3" l="1"/>
  <c r="I726" i="3"/>
  <c r="J726" i="3"/>
  <c r="AD726" i="3" s="1"/>
  <c r="M726" i="3"/>
  <c r="N726" i="3" s="1"/>
  <c r="V726" i="3"/>
  <c r="A727" i="3"/>
  <c r="B727" i="3" s="1"/>
  <c r="W726" i="3" l="1"/>
  <c r="L726" i="3"/>
  <c r="P727" i="3"/>
  <c r="Q727" i="3" s="1"/>
  <c r="R727" i="3" s="1"/>
  <c r="S727" i="3" s="1"/>
  <c r="Z727" i="3"/>
  <c r="AA727" i="3"/>
  <c r="AC727" i="3"/>
  <c r="U726" i="3" l="1"/>
  <c r="Y725" i="3"/>
  <c r="T727" i="3"/>
  <c r="AH727" i="3" s="1"/>
  <c r="E727" i="3" l="1"/>
  <c r="H727" i="3" s="1"/>
  <c r="K727" i="3" s="1"/>
  <c r="AE727" i="3" s="1"/>
  <c r="D727" i="3"/>
  <c r="AG727" i="3"/>
  <c r="F727" i="3" l="1"/>
  <c r="G727" i="3"/>
  <c r="M727" i="3" s="1"/>
  <c r="N727" i="3" s="1"/>
  <c r="V727" i="3"/>
  <c r="A728" i="3"/>
  <c r="B728" i="3" s="1"/>
  <c r="I727" i="3" l="1"/>
  <c r="W727" i="3" s="1"/>
  <c r="J727" i="3"/>
  <c r="AA728" i="3"/>
  <c r="P728" i="3"/>
  <c r="Q728" i="3" s="1"/>
  <c r="R728" i="3" s="1"/>
  <c r="S728" i="3" s="1"/>
  <c r="AC728" i="3"/>
  <c r="Z728" i="3"/>
  <c r="L727" i="3" l="1"/>
  <c r="U727" i="3" s="1"/>
  <c r="AD727" i="3"/>
  <c r="T728" i="3"/>
  <c r="Y726" i="3" l="1"/>
  <c r="D728" i="3"/>
  <c r="G728" i="3" s="1"/>
  <c r="AG728" i="3"/>
  <c r="E728" i="3"/>
  <c r="H728" i="3" s="1"/>
  <c r="AH728" i="3"/>
  <c r="F728" i="3" l="1"/>
  <c r="I728" i="3"/>
  <c r="J728" i="3"/>
  <c r="AD728" i="3" s="1"/>
  <c r="M728" i="3"/>
  <c r="N728" i="3" s="1"/>
  <c r="K728" i="3"/>
  <c r="AE728" i="3" s="1"/>
  <c r="V728" i="3" l="1"/>
  <c r="W728" i="3" s="1"/>
  <c r="A729" i="3"/>
  <c r="B729" i="3" s="1"/>
  <c r="L728" i="3"/>
  <c r="U728" i="3" l="1"/>
  <c r="Y727" i="3"/>
  <c r="P729" i="3"/>
  <c r="Q729" i="3" s="1"/>
  <c r="R729" i="3" s="1"/>
  <c r="S729" i="3" s="1"/>
  <c r="AA729" i="3"/>
  <c r="AC729" i="3"/>
  <c r="Z729" i="3"/>
  <c r="T729" i="3" l="1"/>
  <c r="E729" i="3" s="1"/>
  <c r="H729" i="3" s="1"/>
  <c r="AH729" i="3" l="1"/>
  <c r="D729" i="3"/>
  <c r="F729" i="3" s="1"/>
  <c r="AG729" i="3"/>
  <c r="K729" i="3"/>
  <c r="AE729" i="3" s="1"/>
  <c r="G729" i="3" l="1"/>
  <c r="I729" i="3" s="1"/>
  <c r="V729" i="3"/>
  <c r="A730" i="3"/>
  <c r="B730" i="3" s="1"/>
  <c r="W729" i="3" l="1"/>
  <c r="J729" i="3"/>
  <c r="M729" i="3"/>
  <c r="N729" i="3" s="1"/>
  <c r="AA730" i="3"/>
  <c r="Z730" i="3"/>
  <c r="P730" i="3"/>
  <c r="Q730" i="3" s="1"/>
  <c r="R730" i="3" s="1"/>
  <c r="S730" i="3" s="1"/>
  <c r="AC730" i="3"/>
  <c r="L729" i="3" l="1"/>
  <c r="U729" i="3" s="1"/>
  <c r="AD729" i="3"/>
  <c r="T730" i="3"/>
  <c r="Y728" i="3" l="1"/>
  <c r="AG730" i="3"/>
  <c r="D730" i="3"/>
  <c r="E730" i="3"/>
  <c r="H730" i="3" s="1"/>
  <c r="AH730" i="3"/>
  <c r="K730" i="3" l="1"/>
  <c r="AE730" i="3" s="1"/>
  <c r="F730" i="3"/>
  <c r="G730" i="3"/>
  <c r="I730" i="3" l="1"/>
  <c r="J730" i="3"/>
  <c r="AD730" i="3" s="1"/>
  <c r="M730" i="3"/>
  <c r="N730" i="3" s="1"/>
  <c r="V730" i="3"/>
  <c r="A731" i="3"/>
  <c r="B731" i="3" s="1"/>
  <c r="W730" i="3" l="1"/>
  <c r="L730" i="3"/>
  <c r="P731" i="3"/>
  <c r="Q731" i="3" s="1"/>
  <c r="R731" i="3" s="1"/>
  <c r="S731" i="3" s="1"/>
  <c r="Z731" i="3"/>
  <c r="AA731" i="3"/>
  <c r="AC731" i="3"/>
  <c r="U730" i="3" l="1"/>
  <c r="Y729" i="3"/>
  <c r="T731" i="3"/>
  <c r="AG731" i="3" s="1"/>
  <c r="E731" i="3" l="1"/>
  <c r="H731" i="3" s="1"/>
  <c r="K731" i="3" s="1"/>
  <c r="AE731" i="3" s="1"/>
  <c r="AH731" i="3"/>
  <c r="D731" i="3"/>
  <c r="F731" i="3" l="1"/>
  <c r="G731" i="3"/>
  <c r="J731" i="3" s="1"/>
  <c r="AD731" i="3" s="1"/>
  <c r="V731" i="3"/>
  <c r="A732" i="3"/>
  <c r="B732" i="3" s="1"/>
  <c r="M731" i="3" l="1"/>
  <c r="N731" i="3" s="1"/>
  <c r="I731" i="3"/>
  <c r="W731" i="3" s="1"/>
  <c r="L731" i="3"/>
  <c r="AC732" i="3"/>
  <c r="Z732" i="3"/>
  <c r="AA732" i="3"/>
  <c r="P732" i="3"/>
  <c r="Q732" i="3" s="1"/>
  <c r="R732" i="3" s="1"/>
  <c r="S732" i="3" s="1"/>
  <c r="U731" i="3" l="1"/>
  <c r="Y730" i="3"/>
  <c r="T732" i="3"/>
  <c r="E732" i="3" l="1"/>
  <c r="H732" i="3" s="1"/>
  <c r="K732" i="3" s="1"/>
  <c r="AE732" i="3" s="1"/>
  <c r="D732" i="3"/>
  <c r="G732" i="3" s="1"/>
  <c r="AH732" i="3"/>
  <c r="AG732" i="3"/>
  <c r="F732" i="3" l="1"/>
  <c r="I732" i="3"/>
  <c r="J732" i="3"/>
  <c r="AD732" i="3" s="1"/>
  <c r="M732" i="3"/>
  <c r="N732" i="3" s="1"/>
  <c r="V732" i="3"/>
  <c r="A733" i="3"/>
  <c r="B733" i="3" s="1"/>
  <c r="W732" i="3" l="1"/>
  <c r="L732" i="3"/>
  <c r="AC733" i="3"/>
  <c r="P733" i="3"/>
  <c r="Q733" i="3" s="1"/>
  <c r="R733" i="3" s="1"/>
  <c r="S733" i="3" s="1"/>
  <c r="AA733" i="3"/>
  <c r="Z733" i="3"/>
  <c r="T733" i="3" l="1"/>
  <c r="AH733" i="3" s="1"/>
  <c r="U732" i="3"/>
  <c r="Y731" i="3"/>
  <c r="D733" i="3" l="1"/>
  <c r="G733" i="3" s="1"/>
  <c r="E733" i="3"/>
  <c r="H733" i="3" s="1"/>
  <c r="AG733" i="3"/>
  <c r="F733" i="3" l="1"/>
  <c r="I733" i="3"/>
  <c r="J733" i="3"/>
  <c r="AD733" i="3" s="1"/>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L734" i="3" l="1"/>
  <c r="Y733" i="3" s="1"/>
  <c r="AD734" i="3"/>
  <c r="T735" i="3"/>
  <c r="U734" i="3" l="1"/>
  <c r="E735" i="3" s="1"/>
  <c r="H735" i="3" s="1"/>
  <c r="AH735" i="3"/>
  <c r="AG735" i="3"/>
  <c r="D735" i="3" l="1"/>
  <c r="G735" i="3" s="1"/>
  <c r="M735" i="3" s="1"/>
  <c r="N735" i="3" s="1"/>
  <c r="K735" i="3"/>
  <c r="AE735" i="3" s="1"/>
  <c r="F735" i="3" l="1"/>
  <c r="I735" i="3"/>
  <c r="J735" i="3"/>
  <c r="V735" i="3"/>
  <c r="A736" i="3"/>
  <c r="B736" i="3" s="1"/>
  <c r="L735" i="3" l="1"/>
  <c r="U735" i="3" s="1"/>
  <c r="AD735" i="3"/>
  <c r="W735" i="3"/>
  <c r="Z736" i="3"/>
  <c r="P736" i="3"/>
  <c r="Q736" i="3" s="1"/>
  <c r="R736" i="3" s="1"/>
  <c r="S736" i="3" s="1"/>
  <c r="AA736" i="3"/>
  <c r="AC736" i="3"/>
  <c r="Y734" i="3" l="1"/>
  <c r="T736" i="3"/>
  <c r="E736" i="3" s="1"/>
  <c r="H736" i="3" s="1"/>
  <c r="AH736" i="3" l="1"/>
  <c r="D736" i="3"/>
  <c r="F736" i="3" s="1"/>
  <c r="K736" i="3"/>
  <c r="AE736" i="3" s="1"/>
  <c r="AG736" i="3"/>
  <c r="G736" i="3" l="1"/>
  <c r="M736" i="3" s="1"/>
  <c r="N736" i="3" s="1"/>
  <c r="V736" i="3"/>
  <c r="A737" i="3"/>
  <c r="B737" i="3" s="1"/>
  <c r="I736" i="3" l="1"/>
  <c r="W736" i="3" s="1"/>
  <c r="J736" i="3"/>
  <c r="AC737" i="3"/>
  <c r="P737" i="3"/>
  <c r="Q737" i="3" s="1"/>
  <c r="R737" i="3" s="1"/>
  <c r="S737" i="3" s="1"/>
  <c r="Z737" i="3"/>
  <c r="AA737" i="3"/>
  <c r="L736" i="3" l="1"/>
  <c r="U736" i="3" s="1"/>
  <c r="AD736" i="3"/>
  <c r="T737" i="3"/>
  <c r="Y735" i="3" l="1"/>
  <c r="AH737" i="3"/>
  <c r="D737" i="3"/>
  <c r="E737" i="3"/>
  <c r="H737" i="3" s="1"/>
  <c r="AG737" i="3"/>
  <c r="F737" i="3" l="1"/>
  <c r="G737" i="3"/>
  <c r="K737" i="3"/>
  <c r="AE737" i="3" s="1"/>
  <c r="V737" i="3" l="1"/>
  <c r="A738" i="3"/>
  <c r="B738" i="3" s="1"/>
  <c r="I737" i="3"/>
  <c r="J737" i="3"/>
  <c r="AD737" i="3" s="1"/>
  <c r="M737" i="3"/>
  <c r="N737" i="3" s="1"/>
  <c r="W737" i="3" l="1"/>
  <c r="L737" i="3"/>
  <c r="AA738" i="3"/>
  <c r="P738" i="3"/>
  <c r="Q738" i="3" s="1"/>
  <c r="R738" i="3" s="1"/>
  <c r="S738" i="3" s="1"/>
  <c r="AC738" i="3"/>
  <c r="Z738" i="3"/>
  <c r="U737" i="3" l="1"/>
  <c r="Y736" i="3"/>
  <c r="T738" i="3"/>
  <c r="E738" i="3" l="1"/>
  <c r="H738" i="3" s="1"/>
  <c r="K738" i="3" s="1"/>
  <c r="AE738" i="3" s="1"/>
  <c r="D738" i="3"/>
  <c r="AG738" i="3"/>
  <c r="AH738" i="3"/>
  <c r="V738" i="3" l="1"/>
  <c r="A739" i="3"/>
  <c r="B739" i="3" s="1"/>
  <c r="F738" i="3"/>
  <c r="G738" i="3"/>
  <c r="I738" i="3" l="1"/>
  <c r="W738" i="3" s="1"/>
  <c r="J738" i="3"/>
  <c r="AD738" i="3" s="1"/>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T746" i="3"/>
  <c r="Y744" i="3" l="1"/>
  <c r="D746" i="3"/>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I755" i="3"/>
  <c r="W755" i="3" s="1"/>
  <c r="J755" i="3"/>
  <c r="AD755" i="3" s="1"/>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AC757" i="3"/>
  <c r="P757" i="3"/>
  <c r="Q757" i="3" s="1"/>
  <c r="R757" i="3" s="1"/>
  <c r="S757" i="3" s="1"/>
  <c r="Z757" i="3"/>
  <c r="AA757" i="3"/>
  <c r="L756" i="3" l="1"/>
  <c r="U756" i="3" s="1"/>
  <c r="AD756" i="3"/>
  <c r="T757" i="3"/>
  <c r="Y755" i="3" l="1"/>
  <c r="E757" i="3"/>
  <c r="H757" i="3" s="1"/>
  <c r="K757" i="3" s="1"/>
  <c r="AE757" i="3" s="1"/>
  <c r="AH757" i="3"/>
  <c r="D757" i="3"/>
  <c r="AG757" i="3"/>
  <c r="V757" i="3" l="1"/>
  <c r="A758" i="3"/>
  <c r="B758" i="3" s="1"/>
  <c r="F757" i="3"/>
  <c r="G757" i="3"/>
  <c r="I757" i="3" l="1"/>
  <c r="W757" i="3" s="1"/>
  <c r="J757" i="3"/>
  <c r="AD757" i="3" s="1"/>
  <c r="M757" i="3"/>
  <c r="N757" i="3" s="1"/>
  <c r="AA758" i="3"/>
  <c r="Z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AD758" i="3" s="1"/>
  <c r="M758" i="3"/>
  <c r="N758" i="3" s="1"/>
  <c r="L758" i="3" l="1"/>
  <c r="W758" i="3"/>
  <c r="P759" i="3"/>
  <c r="Q759" i="3" s="1"/>
  <c r="R759" i="3" s="1"/>
  <c r="S759" i="3" s="1"/>
  <c r="Z759" i="3"/>
  <c r="AA759" i="3"/>
  <c r="AC759" i="3"/>
  <c r="U758" i="3" l="1"/>
  <c r="Y757" i="3"/>
  <c r="T759" i="3"/>
  <c r="D759" i="3" l="1"/>
  <c r="G759" i="3" s="1"/>
  <c r="AG759" i="3"/>
  <c r="E759" i="3"/>
  <c r="H759" i="3" s="1"/>
  <c r="AH759" i="3"/>
  <c r="F759" i="3" l="1"/>
  <c r="I759" i="3"/>
  <c r="J759" i="3"/>
  <c r="AD759" i="3" s="1"/>
  <c r="M759" i="3"/>
  <c r="N759" i="3" s="1"/>
  <c r="K759" i="3"/>
  <c r="AE759" i="3" s="1"/>
  <c r="V759" i="3" l="1"/>
  <c r="W759" i="3" s="1"/>
  <c r="A760" i="3"/>
  <c r="B760" i="3" s="1"/>
  <c r="L759" i="3"/>
  <c r="U759" i="3" l="1"/>
  <c r="Y758" i="3"/>
  <c r="AA760" i="3"/>
  <c r="AC760" i="3"/>
  <c r="Z760" i="3"/>
  <c r="P760" i="3"/>
  <c r="Q760" i="3" s="1"/>
  <c r="R760" i="3" s="1"/>
  <c r="S760" i="3" s="1"/>
  <c r="T760" i="3" l="1"/>
  <c r="E760" i="3" s="1"/>
  <c r="H760" i="3" s="1"/>
  <c r="AH760" i="3" l="1"/>
  <c r="AG760" i="3"/>
  <c r="D760" i="3"/>
  <c r="G760" i="3" s="1"/>
  <c r="K760" i="3"/>
  <c r="AE760" i="3" s="1"/>
  <c r="F760" i="3" l="1"/>
  <c r="I760" i="3"/>
  <c r="J760" i="3"/>
  <c r="AD760" i="3" s="1"/>
  <c r="M760" i="3"/>
  <c r="N760" i="3" s="1"/>
  <c r="V760" i="3"/>
  <c r="A761" i="3"/>
  <c r="B761" i="3" s="1"/>
  <c r="W760" i="3" l="1"/>
  <c r="L760" i="3"/>
  <c r="P761" i="3"/>
  <c r="Q761" i="3" s="1"/>
  <c r="R761" i="3" s="1"/>
  <c r="S761" i="3" s="1"/>
  <c r="Z761" i="3"/>
  <c r="AA761" i="3"/>
  <c r="AC761" i="3"/>
  <c r="T761" i="3" l="1"/>
  <c r="U760" i="3"/>
  <c r="Y759" i="3"/>
  <c r="D761" i="3" l="1"/>
  <c r="G761" i="3" s="1"/>
  <c r="AG761" i="3"/>
  <c r="AH761" i="3"/>
  <c r="E761" i="3"/>
  <c r="H761" i="3" s="1"/>
  <c r="F761" i="3" l="1"/>
  <c r="I761" i="3"/>
  <c r="J761" i="3"/>
  <c r="AD761" i="3" s="1"/>
  <c r="M761" i="3"/>
  <c r="N761" i="3" s="1"/>
  <c r="K761" i="3"/>
  <c r="AE761" i="3" s="1"/>
  <c r="V761" i="3" l="1"/>
  <c r="W761" i="3" s="1"/>
  <c r="A762" i="3"/>
  <c r="B762" i="3" s="1"/>
  <c r="L761" i="3"/>
  <c r="U761" i="3" l="1"/>
  <c r="Y760" i="3"/>
  <c r="AA762" i="3"/>
  <c r="Z762" i="3"/>
  <c r="AC762" i="3"/>
  <c r="P762" i="3"/>
  <c r="Q762" i="3" s="1"/>
  <c r="R762" i="3" s="1"/>
  <c r="S762" i="3" s="1"/>
  <c r="T762" i="3" l="1"/>
  <c r="D762" i="3" s="1"/>
  <c r="E762" i="3" l="1"/>
  <c r="H762" i="3" s="1"/>
  <c r="K762" i="3" s="1"/>
  <c r="AE762" i="3" s="1"/>
  <c r="AH762" i="3"/>
  <c r="AG762" i="3"/>
  <c r="G762" i="3"/>
  <c r="F762" i="3" l="1"/>
  <c r="I762" i="3"/>
  <c r="J762" i="3"/>
  <c r="AD762" i="3" s="1"/>
  <c r="M762" i="3"/>
  <c r="N762" i="3" s="1"/>
  <c r="V762" i="3"/>
  <c r="A763" i="3"/>
  <c r="B763" i="3" s="1"/>
  <c r="W762" i="3" l="1"/>
  <c r="L762" i="3"/>
  <c r="AC763" i="3"/>
  <c r="Z763" i="3"/>
  <c r="AA763" i="3"/>
  <c r="P763" i="3"/>
  <c r="Q763" i="3" s="1"/>
  <c r="R763" i="3" s="1"/>
  <c r="S763" i="3" s="1"/>
  <c r="U762" i="3" l="1"/>
  <c r="Y761" i="3"/>
  <c r="T763" i="3"/>
  <c r="D763" i="3" l="1"/>
  <c r="G763" i="3" s="1"/>
  <c r="AG763" i="3"/>
  <c r="AH763" i="3"/>
  <c r="E763" i="3"/>
  <c r="H763" i="3" s="1"/>
  <c r="K763" i="3" s="1"/>
  <c r="AE763" i="3" s="1"/>
  <c r="F763" i="3" l="1"/>
  <c r="I763" i="3"/>
  <c r="J763" i="3"/>
  <c r="AD763" i="3" s="1"/>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I764" i="3"/>
  <c r="W764" i="3" s="1"/>
  <c r="J764" i="3"/>
  <c r="AD764" i="3" s="1"/>
  <c r="M764" i="3"/>
  <c r="N764" i="3" s="1"/>
  <c r="T765" i="3" l="1"/>
  <c r="L764" i="3"/>
  <c r="AG765" i="3" l="1"/>
  <c r="AH765" i="3"/>
  <c r="U764" i="3"/>
  <c r="D765" i="3" s="1"/>
  <c r="Y763" i="3"/>
  <c r="E765" i="3" l="1"/>
  <c r="H765" i="3" s="1"/>
  <c r="K765" i="3" s="1"/>
  <c r="AE765" i="3" s="1"/>
  <c r="G765" i="3"/>
  <c r="F765" i="3" l="1"/>
  <c r="I765" i="3"/>
  <c r="J765" i="3"/>
  <c r="AD765" i="3" s="1"/>
  <c r="M765" i="3"/>
  <c r="N765" i="3" s="1"/>
  <c r="V765" i="3"/>
  <c r="A766" i="3"/>
  <c r="B766" i="3" s="1"/>
  <c r="W765" i="3" l="1"/>
  <c r="L765"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AD766" i="3" s="1"/>
  <c r="M766" i="3"/>
  <c r="N766" i="3" s="1"/>
  <c r="P767" i="3"/>
  <c r="Q767" i="3" s="1"/>
  <c r="R767" i="3" s="1"/>
  <c r="S767" i="3" s="1"/>
  <c r="AC767" i="3"/>
  <c r="AA767" i="3"/>
  <c r="Z767" i="3"/>
  <c r="T767" i="3" l="1"/>
  <c r="L766" i="3"/>
  <c r="AH767" i="3" l="1"/>
  <c r="AG767" i="3"/>
  <c r="U766" i="3"/>
  <c r="D767" i="3" s="1"/>
  <c r="Y765" i="3"/>
  <c r="E767" i="3" l="1"/>
  <c r="H767" i="3" s="1"/>
  <c r="K767" i="3" s="1"/>
  <c r="AE767" i="3" s="1"/>
  <c r="G767" i="3"/>
  <c r="F767" i="3" l="1"/>
  <c r="I767" i="3"/>
  <c r="J767" i="3"/>
  <c r="AD767" i="3" s="1"/>
  <c r="M767" i="3"/>
  <c r="N767" i="3" s="1"/>
  <c r="V767" i="3"/>
  <c r="A768" i="3"/>
  <c r="B768" i="3" s="1"/>
  <c r="W767" i="3" l="1"/>
  <c r="L767" i="3"/>
  <c r="AC768" i="3"/>
  <c r="AA768" i="3"/>
  <c r="P768" i="3"/>
  <c r="Q768" i="3" s="1"/>
  <c r="R768" i="3" s="1"/>
  <c r="S768" i="3" s="1"/>
  <c r="Z768" i="3"/>
  <c r="T768" i="3" l="1"/>
  <c r="AG768" i="3" s="1"/>
  <c r="U767" i="3"/>
  <c r="Y766" i="3"/>
  <c r="D768" i="3" l="1"/>
  <c r="G768" i="3" s="1"/>
  <c r="AH768" i="3"/>
  <c r="E768" i="3"/>
  <c r="H768" i="3" s="1"/>
  <c r="K768" i="3" l="1"/>
  <c r="AE768" i="3" s="1"/>
  <c r="I768" i="3"/>
  <c r="J768" i="3"/>
  <c r="AD768" i="3" s="1"/>
  <c r="M768" i="3"/>
  <c r="N768" i="3" s="1"/>
  <c r="F768" i="3"/>
  <c r="L768" i="3" l="1"/>
  <c r="V768" i="3"/>
  <c r="W768" i="3" s="1"/>
  <c r="A769" i="3"/>
  <c r="B769" i="3" s="1"/>
  <c r="AC769" i="3" l="1"/>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AD769" i="3" s="1"/>
  <c r="M769" i="3"/>
  <c r="N769" i="3" s="1"/>
  <c r="W769" i="3" l="1"/>
  <c r="L769" i="3"/>
  <c r="AC770" i="3"/>
  <c r="P770" i="3"/>
  <c r="Q770" i="3" s="1"/>
  <c r="R770" i="3" s="1"/>
  <c r="S770" i="3" s="1"/>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AA771" i="3"/>
  <c r="AC771" i="3"/>
  <c r="P771" i="3"/>
  <c r="Q771" i="3" s="1"/>
  <c r="R771" i="3" s="1"/>
  <c r="S771" i="3" s="1"/>
  <c r="Z771" i="3"/>
  <c r="L770" i="3" l="1"/>
  <c r="U770" i="3" s="1"/>
  <c r="AD770" i="3"/>
  <c r="T771" i="3"/>
  <c r="AH771" i="3" l="1"/>
  <c r="Y769" i="3"/>
  <c r="E771" i="3"/>
  <c r="H771" i="3" s="1"/>
  <c r="AG771" i="3"/>
  <c r="D771" i="3"/>
  <c r="K771" i="3" l="1"/>
  <c r="AE771" i="3" s="1"/>
  <c r="F771" i="3"/>
  <c r="G771" i="3"/>
  <c r="V771" i="3" l="1"/>
  <c r="A772" i="3"/>
  <c r="B772" i="3" s="1"/>
  <c r="I771" i="3"/>
  <c r="J771" i="3"/>
  <c r="AD771" i="3" s="1"/>
  <c r="M771" i="3"/>
  <c r="N771" i="3" s="1"/>
  <c r="L771" i="3" l="1"/>
  <c r="W771"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AD772" i="3" s="1"/>
  <c r="M772" i="3"/>
  <c r="N772" i="3" s="1"/>
  <c r="W772" i="3" l="1"/>
  <c r="L772" i="3"/>
  <c r="AA773" i="3"/>
  <c r="P773" i="3"/>
  <c r="Q773" i="3" s="1"/>
  <c r="R773" i="3" s="1"/>
  <c r="S773" i="3" s="1"/>
  <c r="Z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AC774" i="3"/>
  <c r="P774" i="3"/>
  <c r="Q774" i="3" s="1"/>
  <c r="R774" i="3" s="1"/>
  <c r="S774" i="3" s="1"/>
  <c r="AA774" i="3"/>
  <c r="Z774" i="3"/>
  <c r="L773" i="3" l="1"/>
  <c r="Y772" i="3" s="1"/>
  <c r="AD773" i="3"/>
  <c r="T774" i="3"/>
  <c r="AG774" i="3" l="1"/>
  <c r="U773" i="3"/>
  <c r="E774" i="3" s="1"/>
  <c r="H774" i="3" s="1"/>
  <c r="K774" i="3" s="1"/>
  <c r="AE774" i="3" s="1"/>
  <c r="AH774" i="3"/>
  <c r="D774" i="3" l="1"/>
  <c r="F774" i="3" s="1"/>
  <c r="V774" i="3"/>
  <c r="A775" i="3"/>
  <c r="B775" i="3" s="1"/>
  <c r="G774" i="3" l="1"/>
  <c r="M774" i="3" s="1"/>
  <c r="N774" i="3" s="1"/>
  <c r="P775" i="3"/>
  <c r="Q775" i="3" s="1"/>
  <c r="R775" i="3" s="1"/>
  <c r="S775" i="3" s="1"/>
  <c r="Z775" i="3"/>
  <c r="AD775" i="3"/>
  <c r="AA775" i="3"/>
  <c r="AC775" i="3"/>
  <c r="J774" i="3" l="1"/>
  <c r="L774" i="3" s="1"/>
  <c r="Y773" i="3" s="1"/>
  <c r="I774" i="3"/>
  <c r="W774"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A778" i="3"/>
  <c r="AC778" i="3"/>
  <c r="U777" i="3" l="1"/>
  <c r="Y776" i="3"/>
  <c r="T778" i="3"/>
  <c r="AH778" i="3" s="1"/>
  <c r="E778" i="3" l="1"/>
  <c r="H778" i="3" s="1"/>
  <c r="K778" i="3" s="1"/>
  <c r="AE778" i="3" s="1"/>
  <c r="AG778" i="3"/>
  <c r="D778" i="3"/>
  <c r="G778" i="3" s="1"/>
  <c r="F778" i="3" l="1"/>
  <c r="I778" i="3"/>
  <c r="J778" i="3"/>
  <c r="AD778" i="3" s="1"/>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P785" i="3"/>
  <c r="Q785" i="3" s="1"/>
  <c r="R785" i="3" s="1"/>
  <c r="S785" i="3" s="1"/>
  <c r="AC785" i="3"/>
  <c r="Z785" i="3"/>
  <c r="U784" i="3" l="1"/>
  <c r="Y783" i="3"/>
  <c r="T785" i="3"/>
  <c r="AH785" i="3" s="1"/>
  <c r="E785" i="3" l="1"/>
  <c r="H785" i="3" s="1"/>
  <c r="AG785" i="3"/>
  <c r="D785" i="3"/>
  <c r="K785" i="3" l="1"/>
  <c r="AE785" i="3" s="1"/>
  <c r="F785" i="3"/>
  <c r="G785" i="3"/>
  <c r="I785" i="3" l="1"/>
  <c r="J785" i="3"/>
  <c r="AD785" i="3" s="1"/>
  <c r="M785" i="3"/>
  <c r="N785" i="3" s="1"/>
  <c r="V785" i="3"/>
  <c r="A786" i="3"/>
  <c r="B786" i="3" s="1"/>
  <c r="W785" i="3" l="1"/>
  <c r="L785" i="3"/>
  <c r="Z786" i="3"/>
  <c r="AA786" i="3"/>
  <c r="P786" i="3"/>
  <c r="Q786" i="3" s="1"/>
  <c r="R786" i="3" s="1"/>
  <c r="S786" i="3" s="1"/>
  <c r="AC786" i="3"/>
  <c r="U785" i="3" l="1"/>
  <c r="Y784" i="3"/>
  <c r="T786" i="3"/>
  <c r="E786" i="3" l="1"/>
  <c r="H786" i="3" s="1"/>
  <c r="K786" i="3" s="1"/>
  <c r="AE786" i="3" s="1"/>
  <c r="AG786" i="3"/>
  <c r="D786" i="3"/>
  <c r="G786" i="3" s="1"/>
  <c r="AH786" i="3"/>
  <c r="F786" i="3" l="1"/>
  <c r="I786" i="3"/>
  <c r="J786" i="3"/>
  <c r="AD786" i="3" s="1"/>
  <c r="M786" i="3"/>
  <c r="N786" i="3" s="1"/>
  <c r="V786" i="3"/>
  <c r="A787" i="3"/>
  <c r="B787" i="3" s="1"/>
  <c r="L786" i="3" l="1"/>
  <c r="W786" i="3"/>
  <c r="AC787" i="3"/>
  <c r="P787" i="3"/>
  <c r="Q787" i="3" s="1"/>
  <c r="R787" i="3" s="1"/>
  <c r="S787" i="3" s="1"/>
  <c r="Z787" i="3"/>
  <c r="AA787" i="3"/>
  <c r="U786" i="3" l="1"/>
  <c r="Y785" i="3"/>
  <c r="T787" i="3"/>
  <c r="D787" i="3" l="1"/>
  <c r="G787" i="3" s="1"/>
  <c r="AH787" i="3"/>
  <c r="E787" i="3"/>
  <c r="H787" i="3" s="1"/>
  <c r="AG787" i="3"/>
  <c r="F787" i="3" l="1"/>
  <c r="I787" i="3"/>
  <c r="J787" i="3"/>
  <c r="AD787" i="3" s="1"/>
  <c r="M787" i="3"/>
  <c r="N787" i="3" s="1"/>
  <c r="K787" i="3"/>
  <c r="AE787" i="3" s="1"/>
  <c r="V787" i="3" l="1"/>
  <c r="W787" i="3" s="1"/>
  <c r="A788" i="3"/>
  <c r="B788" i="3" s="1"/>
  <c r="L787" i="3"/>
  <c r="U787" i="3" l="1"/>
  <c r="Y786" i="3"/>
  <c r="AC788" i="3"/>
  <c r="Z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W788" i="3"/>
  <c r="P789" i="3"/>
  <c r="Q789" i="3" s="1"/>
  <c r="R789" i="3" s="1"/>
  <c r="S789" i="3" s="1"/>
  <c r="AC789" i="3"/>
  <c r="AA789" i="3"/>
  <c r="Z789" i="3"/>
  <c r="L788" i="3" l="1"/>
  <c r="U788" i="3" s="1"/>
  <c r="AD788" i="3"/>
  <c r="T789" i="3"/>
  <c r="Y787" i="3" l="1"/>
  <c r="D789" i="3"/>
  <c r="G789" i="3" s="1"/>
  <c r="E789" i="3"/>
  <c r="H789" i="3" s="1"/>
  <c r="AH789" i="3"/>
  <c r="AG789" i="3"/>
  <c r="F789" i="3" l="1"/>
  <c r="I789" i="3"/>
  <c r="J789" i="3"/>
  <c r="AD789" i="3" s="1"/>
  <c r="M789" i="3"/>
  <c r="N789" i="3" s="1"/>
  <c r="K789" i="3"/>
  <c r="AE789" i="3" s="1"/>
  <c r="L789" i="3" l="1"/>
  <c r="V789" i="3"/>
  <c r="W789" i="3" s="1"/>
  <c r="A790" i="3"/>
  <c r="B790" i="3" s="1"/>
  <c r="AA790" i="3" l="1"/>
  <c r="AC790" i="3"/>
  <c r="Z790" i="3"/>
  <c r="P790" i="3"/>
  <c r="Q790" i="3" s="1"/>
  <c r="R790" i="3" s="1"/>
  <c r="S790" i="3" s="1"/>
  <c r="U789" i="3"/>
  <c r="Y788" i="3"/>
  <c r="T790" i="3" l="1"/>
  <c r="D790" i="3" s="1"/>
  <c r="AG790" i="3" l="1"/>
  <c r="G790" i="3"/>
  <c r="AH790" i="3"/>
  <c r="E790" i="3"/>
  <c r="H790" i="3" s="1"/>
  <c r="F790" i="3" l="1"/>
  <c r="I790" i="3"/>
  <c r="J790" i="3"/>
  <c r="AD790" i="3" s="1"/>
  <c r="M790" i="3"/>
  <c r="N790" i="3" s="1"/>
  <c r="K790" i="3"/>
  <c r="AE790" i="3" s="1"/>
  <c r="V790" i="3" l="1"/>
  <c r="W790" i="3" s="1"/>
  <c r="A791" i="3"/>
  <c r="B791" i="3" s="1"/>
  <c r="L790" i="3"/>
  <c r="U790" i="3" l="1"/>
  <c r="Y789" i="3"/>
  <c r="P791" i="3"/>
  <c r="Q791" i="3" s="1"/>
  <c r="R791" i="3" s="1"/>
  <c r="S791" i="3" s="1"/>
  <c r="AA791" i="3"/>
  <c r="AC791" i="3"/>
  <c r="Z791" i="3"/>
  <c r="T791" i="3" l="1"/>
  <c r="AG791" i="3" s="1"/>
  <c r="E791" i="3" l="1"/>
  <c r="H791" i="3" s="1"/>
  <c r="K791" i="3" s="1"/>
  <c r="AE791" i="3" s="1"/>
  <c r="D791" i="3"/>
  <c r="G791" i="3" s="1"/>
  <c r="AH791" i="3"/>
  <c r="F791" i="3" l="1"/>
  <c r="I791" i="3"/>
  <c r="J791" i="3"/>
  <c r="AD791" i="3" s="1"/>
  <c r="M791" i="3"/>
  <c r="N791" i="3" s="1"/>
  <c r="V791" i="3"/>
  <c r="A792" i="3"/>
  <c r="B792" i="3" s="1"/>
  <c r="W791" i="3" l="1"/>
  <c r="L791" i="3"/>
  <c r="P792" i="3"/>
  <c r="Q792" i="3" s="1"/>
  <c r="R792" i="3" s="1"/>
  <c r="S792" i="3" s="1"/>
  <c r="AC792" i="3"/>
  <c r="Z792" i="3"/>
  <c r="AA792" i="3"/>
  <c r="U791" i="3" l="1"/>
  <c r="Y790" i="3"/>
  <c r="T792" i="3"/>
  <c r="AG792" i="3" s="1"/>
  <c r="AH792" i="3" l="1"/>
  <c r="D792" i="3"/>
  <c r="E792" i="3"/>
  <c r="H792" i="3" s="1"/>
  <c r="F792" i="3" l="1"/>
  <c r="G792" i="3"/>
  <c r="K792" i="3"/>
  <c r="AE792" i="3" s="1"/>
  <c r="I792" i="3" l="1"/>
  <c r="J792" i="3"/>
  <c r="AD792" i="3" s="1"/>
  <c r="M792" i="3"/>
  <c r="N792" i="3" s="1"/>
  <c r="V792" i="3"/>
  <c r="A793" i="3"/>
  <c r="B793" i="3" s="1"/>
  <c r="L792" i="3" l="1"/>
  <c r="W792"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Z794" i="3"/>
  <c r="AC794" i="3"/>
  <c r="P794" i="3"/>
  <c r="Q794" i="3" s="1"/>
  <c r="R794" i="3" s="1"/>
  <c r="S794" i="3" s="1"/>
  <c r="AA794" i="3"/>
  <c r="L793" i="3" l="1"/>
  <c r="Y792" i="3" s="1"/>
  <c r="AD793" i="3"/>
  <c r="T794" i="3"/>
  <c r="U793" i="3" l="1"/>
  <c r="D794" i="3" s="1"/>
  <c r="AH794" i="3"/>
  <c r="AG794" i="3"/>
  <c r="E794" i="3" l="1"/>
  <c r="H794" i="3" s="1"/>
  <c r="K794" i="3" s="1"/>
  <c r="AE794" i="3" s="1"/>
  <c r="G794" i="3"/>
  <c r="F794" i="3" l="1"/>
  <c r="I794" i="3"/>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T798" i="3" l="1"/>
  <c r="U797" i="3"/>
  <c r="Y796" i="3"/>
  <c r="E798" i="3" l="1"/>
  <c r="H798" i="3" s="1"/>
  <c r="K798" i="3" s="1"/>
  <c r="AE798" i="3" s="1"/>
  <c r="D798" i="3"/>
  <c r="G798" i="3" s="1"/>
  <c r="AH798" i="3"/>
  <c r="AG798" i="3"/>
  <c r="F798" i="3" l="1"/>
  <c r="I798" i="3"/>
  <c r="J798" i="3"/>
  <c r="AD798" i="3" s="1"/>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C808" i="3"/>
  <c r="U807" i="3" l="1"/>
  <c r="Y806" i="3"/>
  <c r="T808" i="3"/>
  <c r="AH808" i="3" s="1"/>
  <c r="D808" i="3" l="1"/>
  <c r="G808" i="3" s="1"/>
  <c r="E808" i="3"/>
  <c r="H808" i="3" s="1"/>
  <c r="K808" i="3" s="1"/>
  <c r="AE808" i="3" s="1"/>
  <c r="AG808" i="3"/>
  <c r="F808" i="3" l="1"/>
  <c r="I808" i="3"/>
  <c r="J808" i="3"/>
  <c r="AD808" i="3" s="1"/>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AD818" i="3" s="1"/>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P828" i="3"/>
  <c r="Q828" i="3" s="1"/>
  <c r="R828" i="3" s="1"/>
  <c r="S828" i="3" s="1"/>
  <c r="AC828" i="3"/>
  <c r="AA828" i="3"/>
  <c r="Z828" i="3"/>
  <c r="U827" i="3" l="1"/>
  <c r="Y826" i="3"/>
  <c r="T828" i="3"/>
  <c r="D828" i="3" l="1"/>
  <c r="G828" i="3" s="1"/>
  <c r="AG828" i="3"/>
  <c r="AH828" i="3"/>
  <c r="E828" i="3"/>
  <c r="H828" i="3" s="1"/>
  <c r="F828" i="3" l="1"/>
  <c r="I828" i="3"/>
  <c r="J828" i="3"/>
  <c r="AD828" i="3" s="1"/>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U837" i="3" l="1"/>
  <c r="Y836" i="3"/>
  <c r="T838" i="3"/>
  <c r="AH838" i="3" s="1"/>
  <c r="E838" i="3" l="1"/>
  <c r="H838" i="3" s="1"/>
  <c r="D838" i="3"/>
  <c r="AG838" i="3"/>
  <c r="K838" i="3" l="1"/>
  <c r="AE838" i="3" s="1"/>
  <c r="F838" i="3"/>
  <c r="G838" i="3"/>
  <c r="V838" i="3" l="1"/>
  <c r="A839" i="3"/>
  <c r="B839" i="3" s="1"/>
  <c r="I838" i="3"/>
  <c r="J838" i="3"/>
  <c r="AD838" i="3" s="1"/>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AD848" i="3" s="1"/>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AD858" i="3" s="1"/>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Z868" i="3"/>
  <c r="AA868" i="3"/>
  <c r="AC868" i="3"/>
  <c r="P868" i="3"/>
  <c r="Q868" i="3" s="1"/>
  <c r="R868" i="3" s="1"/>
  <c r="S868" i="3" s="1"/>
  <c r="T868" i="3" l="1"/>
  <c r="U867" i="3"/>
  <c r="Y866" i="3"/>
  <c r="E868" i="3" l="1"/>
  <c r="H868" i="3" s="1"/>
  <c r="K868" i="3" s="1"/>
  <c r="AE868" i="3" s="1"/>
  <c r="AH868" i="3"/>
  <c r="D868" i="3"/>
  <c r="G868" i="3" s="1"/>
  <c r="AG868" i="3"/>
  <c r="F868" i="3" l="1"/>
  <c r="I868" i="3"/>
  <c r="J868" i="3"/>
  <c r="AD868" i="3" s="1"/>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C878" i="3"/>
  <c r="AA878" i="3"/>
  <c r="P878" i="3"/>
  <c r="Q878" i="3" s="1"/>
  <c r="R878" i="3" s="1"/>
  <c r="S878" i="3" s="1"/>
  <c r="T878" i="3" l="1"/>
  <c r="E878" i="3" s="1"/>
  <c r="H878" i="3" s="1"/>
  <c r="D878" i="3" l="1"/>
  <c r="G878" i="3" s="1"/>
  <c r="AG878" i="3"/>
  <c r="AH878" i="3"/>
  <c r="K878" i="3"/>
  <c r="AE878" i="3" s="1"/>
  <c r="F878" i="3" l="1"/>
  <c r="I878" i="3"/>
  <c r="J878" i="3"/>
  <c r="AD878" i="3" s="1"/>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A888" i="3"/>
  <c r="Z888" i="3"/>
  <c r="P888" i="3"/>
  <c r="Q888" i="3" s="1"/>
  <c r="R888" i="3" s="1"/>
  <c r="S888" i="3" s="1"/>
  <c r="T888" i="3" l="1"/>
  <c r="U887" i="3"/>
  <c r="Y886" i="3"/>
  <c r="E888" i="3" l="1"/>
  <c r="H888" i="3" s="1"/>
  <c r="K888" i="3" s="1"/>
  <c r="AE888" i="3" s="1"/>
  <c r="D888" i="3"/>
  <c r="G888" i="3" s="1"/>
  <c r="AG888" i="3"/>
  <c r="AH888" i="3"/>
  <c r="F888" i="3" l="1"/>
  <c r="I888" i="3"/>
  <c r="J888" i="3"/>
  <c r="AD888" i="3" s="1"/>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P898" i="3"/>
  <c r="Q898" i="3" s="1"/>
  <c r="R898" i="3" s="1"/>
  <c r="S898" i="3" s="1"/>
  <c r="Z898" i="3"/>
  <c r="AC898" i="3"/>
  <c r="U897" i="3"/>
  <c r="Y896" i="3"/>
  <c r="T898" i="3" l="1"/>
  <c r="D898" i="3" s="1"/>
  <c r="G898" i="3" l="1"/>
  <c r="AG898" i="3"/>
  <c r="E898" i="3"/>
  <c r="H898" i="3" s="1"/>
  <c r="AH898" i="3"/>
  <c r="F898" i="3" l="1"/>
  <c r="I898" i="3"/>
  <c r="J898" i="3"/>
  <c r="AD898" i="3" s="1"/>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C908" i="3"/>
  <c r="T908" i="3" l="1"/>
  <c r="L907" i="3"/>
  <c r="AG908" i="3" l="1"/>
  <c r="AH908" i="3"/>
  <c r="U907" i="3"/>
  <c r="E908" i="3" s="1"/>
  <c r="H908" i="3" s="1"/>
  <c r="Y906" i="3"/>
  <c r="D908" i="3" l="1"/>
  <c r="G908" i="3" s="1"/>
  <c r="K908" i="3"/>
  <c r="AE908" i="3" s="1"/>
  <c r="F908" i="3" l="1"/>
  <c r="I908" i="3"/>
  <c r="J908" i="3"/>
  <c r="AD908" i="3" s="1"/>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A928" i="3"/>
  <c r="Z928" i="3"/>
  <c r="P928" i="3"/>
  <c r="Q928" i="3" s="1"/>
  <c r="R928" i="3" s="1"/>
  <c r="S928" i="3" s="1"/>
  <c r="T928" i="3" l="1"/>
  <c r="D928" i="3" s="1"/>
  <c r="AH928" i="3" l="1"/>
  <c r="E928" i="3"/>
  <c r="H928" i="3" s="1"/>
  <c r="K928" i="3" s="1"/>
  <c r="AE928" i="3" s="1"/>
  <c r="AG928" i="3"/>
  <c r="G928" i="3"/>
  <c r="F928" i="3" l="1"/>
  <c r="I928" i="3"/>
  <c r="J928" i="3"/>
  <c r="AD928" i="3" s="1"/>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T938" i="3" l="1"/>
  <c r="AG938" i="3" s="1"/>
  <c r="U937" i="3"/>
  <c r="Y936" i="3"/>
  <c r="D938" i="3" l="1"/>
  <c r="AH938" i="3"/>
  <c r="E938" i="3"/>
  <c r="H938" i="3" s="1"/>
  <c r="F938" i="3" l="1"/>
  <c r="G938" i="3"/>
  <c r="J938" i="3" s="1"/>
  <c r="AD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L967" i="3" l="1"/>
  <c r="T968" i="3"/>
  <c r="AH968" i="3" l="1"/>
  <c r="AG968" i="3"/>
  <c r="U967" i="3"/>
  <c r="E968" i="3" s="1"/>
  <c r="H968" i="3" s="1"/>
  <c r="Y966" i="3"/>
  <c r="K968" i="3" l="1"/>
  <c r="AE968" i="3" s="1"/>
  <c r="D968" i="3"/>
  <c r="V968" i="3" l="1"/>
  <c r="A969" i="3"/>
  <c r="B969" i="3" s="1"/>
  <c r="F968" i="3"/>
  <c r="G968" i="3"/>
  <c r="I968" i="3" l="1"/>
  <c r="W968" i="3" s="1"/>
  <c r="J968" i="3"/>
  <c r="AD968" i="3" s="1"/>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Z978" i="3"/>
  <c r="AA978" i="3"/>
  <c r="P978" i="3"/>
  <c r="Q978" i="3" s="1"/>
  <c r="R978" i="3" s="1"/>
  <c r="S978" i="3" s="1"/>
  <c r="T978" i="3" l="1"/>
  <c r="U977" i="3"/>
  <c r="Y976" i="3"/>
  <c r="D978" i="3" l="1"/>
  <c r="G978" i="3" s="1"/>
  <c r="E978" i="3"/>
  <c r="H978" i="3" s="1"/>
  <c r="K978" i="3" s="1"/>
  <c r="AE978" i="3" s="1"/>
  <c r="AH978" i="3"/>
  <c r="AG978" i="3"/>
  <c r="F978" i="3" l="1"/>
  <c r="I978" i="3"/>
  <c r="J978" i="3"/>
  <c r="AD978" i="3" s="1"/>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C998" i="3"/>
  <c r="AA998" i="3"/>
  <c r="T998" i="3" l="1"/>
  <c r="AG998" i="3" s="1"/>
  <c r="U997" i="3"/>
  <c r="Y996" i="3"/>
  <c r="E998" i="3" l="1"/>
  <c r="H998" i="3" s="1"/>
  <c r="K998" i="3" s="1"/>
  <c r="AE998" i="3" s="1"/>
  <c r="AH998" i="3"/>
  <c r="D998" i="3"/>
  <c r="V998" i="3" l="1"/>
  <c r="A999" i="3"/>
  <c r="B999" i="3" s="1"/>
  <c r="F998" i="3"/>
  <c r="G998" i="3"/>
  <c r="I998" i="3" l="1"/>
  <c r="W998" i="3" s="1"/>
  <c r="J998" i="3"/>
  <c r="AD998" i="3" s="1"/>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H27" i="1"/>
  <c r="J31" i="7" s="1"/>
  <c r="L45" i="1"/>
  <c r="M45" i="1"/>
  <c r="K45" i="1"/>
  <c r="H45" i="1"/>
  <c r="I46" i="1"/>
  <c r="H46" i="1"/>
  <c r="J27" i="1"/>
  <c r="D164" i="1" s="1"/>
  <c r="M46" i="1"/>
  <c r="K27" i="1"/>
  <c r="K31" i="7" s="1"/>
  <c r="L46" i="1"/>
  <c r="I27" i="1"/>
  <c r="B164" i="1" s="1"/>
  <c r="I45" i="1"/>
  <c r="J46" i="1"/>
  <c r="H29" i="1"/>
  <c r="F155" i="1" s="1"/>
  <c r="M31" i="7"/>
  <c r="E121" i="7"/>
  <c r="F121" i="7" s="1"/>
  <c r="H116" i="7"/>
  <c r="H58" i="7"/>
  <c r="E64" i="7"/>
  <c r="F64" i="7" s="1"/>
  <c r="L43" i="1" l="1"/>
  <c r="K24" i="1"/>
  <c r="S26" i="6" s="1"/>
  <c r="K43" i="1"/>
  <c r="I43" i="1"/>
  <c r="J43" i="1"/>
  <c r="H55" i="7"/>
  <c r="H112" i="7"/>
  <c r="H53" i="7"/>
  <c r="P32" i="1"/>
  <c r="P33" i="1"/>
  <c r="I67" i="7"/>
  <c r="H43" i="1"/>
  <c r="K46" i="1"/>
  <c r="H47" i="1"/>
  <c r="M47" i="1"/>
  <c r="L47" i="1"/>
  <c r="K47" i="1"/>
  <c r="K29" i="1" s="1"/>
  <c r="M29" i="1" s="1"/>
  <c r="J47" i="1"/>
  <c r="J29"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D180" i="1"/>
  <c r="F201" i="1"/>
  <c r="D163" i="1"/>
  <c r="F200" i="1"/>
  <c r="D165" i="1"/>
  <c r="D173" i="1"/>
  <c r="D184" i="1"/>
  <c r="F168" i="1"/>
  <c r="F169" i="1"/>
  <c r="D193" i="1"/>
  <c r="F186" i="1"/>
  <c r="F170" i="1"/>
  <c r="D174" i="1"/>
  <c r="D172" i="1"/>
  <c r="F176" i="1"/>
  <c r="D182" i="1"/>
  <c r="D192" i="1"/>
  <c r="D186" i="1"/>
  <c r="F164" i="1"/>
  <c r="F199" i="1"/>
  <c r="D196" i="1"/>
  <c r="F183" i="1"/>
  <c r="D191" i="1"/>
  <c r="F189" i="1"/>
  <c r="F163" i="1"/>
  <c r="F177" i="1"/>
  <c r="D166" i="1"/>
  <c r="D187" i="1"/>
  <c r="D198" i="1"/>
  <c r="F195" i="1"/>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H44" i="7" l="1"/>
  <c r="H11" i="7"/>
  <c r="P31" i="1"/>
  <c r="F22" i="1"/>
  <c r="B152" i="1"/>
  <c r="H115" i="7"/>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<sst xmlns="http://schemas.openxmlformats.org/spreadsheetml/2006/main" count="1735" uniqueCount="575">
  <si>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</si>
  <si>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</si>
  <si>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</si>
  <si>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</si>
  <si>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</si>
  <si>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</si>
  <si>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</si>
  <si>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</si>
  <si>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</si>
  <si>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</si>
  <si>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</si>
  <si>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</si>
  <si>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</si>
  <si>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</si>
  <si>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</si>
  <si>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</si>
  <si>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</si>
  <si>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</si>
  <si>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</si>
  <si>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</si>
  <si>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</si>
  <si>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</si>
  <si>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</si>
  <si>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</si>
  <si>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</si>
  <si>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</si>
  <si>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</si>
  <si>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</si>
  <si>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</si>
  <si>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</si>
  <si>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</si>
  <si>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</si>
  <si>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</si>
  <si>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</si>
  <si>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</si>
  <si>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</si>
  <si>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</si>
  <si>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</si>
  <si>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</si>
  <si>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</si>
  <si>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</si>
  <si>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</si>
  <si>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</si>
  <si>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</si>
  <si>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</si>
  <si>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</si>
  <si>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</si>
  <si>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</si>
  <si>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</si>
  <si>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</si>
  <si>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</si>
  <si>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</si>
  <si>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</si>
  <si>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</si>
  <si>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</si>
  <si>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</si>
  <si>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</si>
  <si>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</si>
  <si>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</si>
  <si>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</si>
  <si>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</si>
  <si>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</si>
  <si>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</si>
  <si>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</si>
  <si>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</si>
  <si>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</si>
  <si>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</si>
  <si>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</si>
  <si>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</si>
  <si>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</si>
  <si>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</si>
  <si>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</si>
  <si>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</si>
  <si>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</si>
  <si>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</si>
  <si>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</si>
  <si>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</si>
  <si>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</si>
  <si>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</si>
  <si>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</si>
  <si>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</si>
  <si>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</si>
  <si>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</si>
  <si>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</si>
  <si>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</si>
  <si>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</si>
  <si>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</si>
  <si>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</si>
  <si>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</si>
  <si>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</si>
  <si>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</si>
  <si>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</si>
  <si>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</si>
  <si>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</si>
  <si>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</si>
  <si>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</si>
  <si>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</si>
  <si>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</si>
  <si>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</si>
  <si>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</si>
  <si>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</si>
  <si>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</si>
  <si>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</si>
  <si>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</si>
  <si>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</si>
  <si>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</si>
  <si>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</si>
  <si>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</si>
  <si>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</si>
  <si>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</si>
  <si>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</si>
  <si>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</si>
  <si>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</si>
  <si>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</si>
  <si>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</si>
  <si>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</si>
  <si>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</si>
  <si>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</si>
  <si>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</si>
  <si>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</si>
  <si>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</si>
  <si>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</si>
  <si>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</si>
  <si>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</si>
  <si>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</si>
  <si>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</si>
  <si>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</si>
  <si>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</si>
  <si>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</si>
  <si>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</si>
  <si>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</si>
  <si>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</si>
  <si>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</si>
  <si>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</si>
  <si>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</si>
  <si>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</si>
  <si>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</si>
  <si>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</si>
  <si>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</si>
  <si>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</si>
  <si>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</si>
  <si>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</si>
  <si>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</si>
  <si>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</si>
  <si>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</si>
  <si>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</si>
  <si>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</si>
  <si>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</si>
  <si>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</si>
  <si>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</si>
  <si>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</si>
  <si>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</si>
  <si>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</si>
  <si>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</si>
  <si>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</si>
  <si>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</si>
  <si>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</si>
  <si>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</si>
  <si>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</si>
  <si>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</si>
  <si>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</si>
  <si>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</si>
  <si>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</si>
  <si>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</si>
  <si>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</si>
  <si>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</si>
  <si>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</si>
  <si>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</si>
  <si>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</si>
  <si>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</si>
  <si>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</si>
  <si>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</si>
  <si>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</si>
  <si>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</si>
  <si>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</si>
  <si>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</si>
  <si>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</si>
  <si>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</si>
  <si>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</si>
  <si>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</si>
  <si>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</si>
  <si>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</si>
  <si>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</si>
  <si>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</si>
  <si>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</si>
  <si>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</si>
  <si>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</si>
  <si>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</si>
  <si>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</si>
  <si>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</si>
  <si>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</si>
  <si>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</si>
  <si>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</si>
  <si>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</si>
  <si>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</si>
  <si>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</si>
  <si>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</si>
  <si>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</si>
  <si>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</si>
  <si>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</si>
  <si>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</si>
  <si>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</si>
  <si>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</si>
  <si>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</si>
  <si>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</si>
  <si>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</si>
  <si>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</si>
  <si>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</si>
  <si>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</si>
  <si>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</si>
  <si>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</si>
  <si>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</si>
  <si>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</si>
  <si>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</si>
  <si>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</si>
  <si>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</si>
  <si>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</si>
  <si>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</si>
  <si>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</si>
  <si>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</si>
  <si>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</si>
  <si>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</si>
  <si>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</si>
  <si>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</si>
  <si>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</si>
  <si>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</si>
  <si>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</si>
  <si>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</si>
  <si>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</si>
  <si>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</si>
  <si>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</si>
  <si>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</si>
  <si>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</si>
  <si>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</si>
  <si>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</si>
  <si>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</si>
  <si>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</si>
  <si>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</si>
  <si>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</si>
  <si>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</si>
  <si>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</si>
  <si>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</si>
  <si>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</si>
  <si>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</si>
  <si>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</si>
  <si>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</si>
  <si>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</si>
  <si>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</si>
  <si>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</si>
  <si>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</si>
  <si>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</si>
  <si>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</si>
  <si>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</si>
  <si>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</si>
  <si>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</si>
  <si>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</si>
  <si>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</si>
  <si>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</si>
  <si>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</si>
  <si>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</si>
  <si>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</si>
  <si>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</si>
  <si>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</si>
  <si>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</si>
  <si>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</si>
  <si>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</si>
  <si>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</si>
  <si>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</si>
  <si>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</si>
  <si>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</si>
  <si>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</si>
  <si>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</si>
  <si>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</si>
  <si>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</si>
  <si>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</si>
  <si>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</si>
  <si>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</si>
  <si>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</si>
  <si>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</si>
  <si>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</si>
  <si>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</si>
  <si>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</si>
  <si>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</si>
  <si>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</si>
  <si>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</si>
  <si>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</si>
  <si>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</si>
  <si>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</si>
  <si>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</si>
  <si>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</si>
  <si>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</si>
  <si>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</si>
  <si>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</si>
  <si>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</si>
  <si>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</si>
  <si>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</si>
  <si>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</si>
  <si>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</si>
  <si>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</si>
  <si>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</si>
  <si>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</si>
  <si>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</si>
  <si>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</si>
  <si>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</si>
  <si>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</si>
  <si>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</si>
  <si>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</si>
  <si>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</si>
  <si>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</si>
  <si>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</si>
  <si>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</si>
  <si>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</si>
  <si>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</si>
  <si>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</si>
  <si>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</si>
  <si>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</si>
  <si>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</si>
  <si>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</si>
  <si>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</si>
  <si>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</si>
  <si>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</si>
  <si>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</si>
  <si>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</si>
  <si>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</si>
  <si>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</si>
  <si>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</si>
  <si>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</si>
  <si>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</si>
  <si>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</si>
  <si>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</si>
  <si>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</si>
  <si>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</si>
  <si>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</si>
  <si>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</si>
  <si>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</si>
  <si>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</si>
  <si>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</si>
  <si>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</si>
  <si>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</si>
  <si>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</si>
  <si>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</si>
  <si>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</si>
  <si>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</si>
  <si>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</si>
  <si>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</si>
  <si>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</si>
  <si>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</si>
  <si>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</si>
  <si>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</si>
  <si>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</si>
  <si>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</si>
  <si>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</si>
  <si>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</si>
  <si>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</si>
  <si>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</si>
  <si>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</si>
  <si>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</si>
  <si>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</si>
  <si>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</si>
  <si>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</si>
  <si>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</si>
  <si>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</si>
  <si>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</si>
  <si>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</si>
  <si>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</si>
  <si>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</si>
  <si>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</si>
  <si>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</si>
  <si>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</si>
  <si>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</si>
  <si>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</si>
  <si>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</si>
  <si>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</si>
  <si>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</si>
  <si>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</si>
  <si>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</si>
  <si>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</si>
  <si>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</si>
  <si>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</si>
  <si>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</si>
  <si>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</si>
  <si>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</si>
  <si>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</si>
  <si>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</si>
  <si>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</si>
  <si>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</si>
  <si>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</si>
  <si>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</si>
  <si>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</si>
  <si>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</si>
  <si>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</si>
  <si>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</si>
  <si>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</si>
  <si>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</si>
  <si>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</si>
  <si>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</si>
  <si>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</si>
  <si>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</si>
  <si>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</si>
  <si>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</si>
  <si>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</si>
  <si>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</si>
  <si>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</si>
  <si>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</si>
  <si>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</si>
  <si>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</si>
  <si>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</si>
  <si>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</si>
  <si>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</si>
  <si>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</si>
  <si>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</si>
  <si>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</si>
  <si>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</si>
  <si>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</si>
  <si>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</si>
  <si>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</si>
  <si>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</si>
  <si>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</si>
  <si>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</si>
  <si>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</si>
  <si>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</si>
  <si>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</si>
  <si>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</si>
  <si>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</si>
  <si>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</si>
  <si>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</si>
  <si>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</si>
  <si>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</si>
  <si>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</si>
  <si>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</si>
  <si>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</si>
  <si>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</si>
  <si>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</si>
  <si>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</si>
  <si>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</si>
  <si>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</si>
  <si>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</si>
  <si>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</si>
  <si>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</si>
  <si>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</si>
  <si>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</si>
  <si>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</si>
  <si>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</si>
  <si>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</si>
  <si>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</si>
  <si>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</si>
  <si>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</si>
  <si>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</si>
  <si>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</si>
  <si>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</si>
  <si>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</si>
  <si>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</si>
  <si>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</si>
  <si>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</si>
  <si>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</si>
  <si>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</si>
  <si>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</si>
  <si>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</si>
  <si>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</si>
  <si>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</si>
  <si>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</si>
  <si>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</si>
  <si>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</si>
  <si>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</si>
  <si>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</si>
  <si>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</si>
  <si>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</si>
  <si>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</si>
  <si>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</si>
  <si>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</si>
  <si>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</si>
  <si>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</si>
  <si>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</si>
  <si>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</si>
  <si>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</si>
  <si>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</si>
  <si>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</si>
  <si>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</si>
  <si>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</si>
  <si>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</si>
  <si>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</si>
  <si>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</si>
  <si>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</si>
  <si>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</si>
  <si>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</si>
  <si>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</si>
  <si>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</si>
  <si>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</si>
  <si>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</si>
  <si>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</si>
  <si>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</si>
  <si>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</si>
  <si>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</si>
  <si>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</si>
  <si>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</si>
  <si>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</si>
  <si>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</si>
  <si>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</si>
  <si>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</si>
  <si>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</si>
  <si>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</si>
  <si>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</si>
  <si>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</si>
  <si>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</si>
  <si>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</si>
  <si>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</si>
  <si>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</si>
  <si>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</si>
  <si>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</si>
  <si>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</si>
  <si>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</si>
  <si>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</si>
  <si>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</si>
  <si>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</si>
  <si>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</si>
  <si>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</si>
  <si>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</si>
  <si>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</si>
  <si>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</si>
  <si>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</si>
  <si>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</si>
  <si>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</si>
  <si>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</si>
  <si>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</si>
  <si>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</si>
  <si>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</si>
  <si>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</si>
  <si>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</si>
  <si>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</si>
  <si>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</si>
  <si>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</si>
  <si>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</si>
  <si>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</si>
  <si>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</si>
  <si>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</si>
  <si>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</si>
  <si>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</si>
  <si>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</si>
  <si>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</si>
  <si>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</si>
  <si>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</si>
  <si>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</si>
  <si>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</si>
  <si>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</si>
  <si>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</si>
  <si>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</si>
  <si>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</si>
  <si>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</si>
  <si>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</si>
  <si>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</si>
  <si>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</si>
  <si>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</si>
  <si>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</si>
  <si>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</si>
  <si>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</si>
  <si>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</si>
  <si>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</si>
  <si>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</si>
  <si>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</si>
  <si>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</si>
  <si>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</si>
  <si>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</si>
  <si>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</si>
  <si>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</si>
  <si>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</si>
  <si>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</si>
  <si>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</si>
  <si>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</si>
  <si>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L'AéroIPSA</t>
  </si>
  <si>
    <t>Conique (droite)</t>
  </si>
  <si>
    <t>Plusieurs diamètres.</t>
  </si>
  <si>
    <t>SP02-Alpha</t>
  </si>
  <si>
    <t>OpenRocket</t>
  </si>
  <si>
    <t>MS</t>
  </si>
  <si>
    <t>Cnalpha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</si>
</sst>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77" fontId="2" fillId="4" borderId="2" xfId="2" applyNumberFormat="1" applyFont="1" applyFill="1" applyBorder="1" applyAlignment="1" applyProtection="1">
      <alignment horizontal="center"/>
      <protection locked="0"/>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165" fontId="33" fillId="5" borderId="2" xfId="2" applyNumberFormat="1"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0" fontId="45" fillId="0" borderId="83" xfId="2" applyFont="1" applyBorder="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2" fillId="12" borderId="15" xfId="0" applyFont="1" applyFill="1" applyBorder="1" applyAlignment="1" applyProtection="1">
      <alignment horizontal="center"/>
      <protection hidden="1"/>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166" fontId="2" fillId="17" borderId="46" xfId="0" applyNumberFormat="1" applyFont="1" applyFill="1" applyBorder="1" applyAlignment="1">
      <alignment horizontal="center" vertic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0" fillId="0" borderId="33" xfId="0" applyBorder="1" applyAlignment="1">
      <alignment horizontal="center"/>
    </xf>
    <xf numFmtId="0" fontId="0" fillId="0" borderId="0" xfId="0" applyAlignment="1">
      <alignment horizontal="center"/>
    </xf>
    <xf numFmtId="0" fontId="0" fillId="0" borderId="0" xfId="0"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0" borderId="33" xfId="0" applyBorder="1" applyAlignment="1" applyProtection="1">
      <alignment horizontal="center"/>
      <protection locked="0"/>
    </xf>
    <xf numFmtId="0" fontId="0" fillId="30" borderId="21" xfId="0" applyFill="1" applyBorder="1" applyAlignment="1">
      <alignment horizontal="center"/>
    </xf>
    <xf numFmtId="0" fontId="0" fillId="30" borderId="23" xfId="0" applyFill="1"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165" fontId="2" fillId="0" borderId="12" xfId="0" applyNumberFormat="1" applyFont="1" applyBorder="1" applyAlignment="1">
      <alignment horizontal="center" vertical="center"/>
    </xf>
    <xf numFmtId="0" fontId="2" fillId="0" borderId="102" xfId="0" applyFont="1" applyBorder="1" applyAlignment="1">
      <alignment horizontal="center" vertical="center"/>
    </xf>
    <xf numFmtId="0" fontId="2" fillId="0" borderId="12" xfId="0" applyFont="1" applyBorder="1" applyAlignment="1">
      <alignment horizontal="center" vertical="center"/>
    </xf>
    <xf numFmtId="1" fontId="2" fillId="0" borderId="12" xfId="0" applyNumberFormat="1"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42</c:v>
                </c:pt>
                <c:pt idx="4">
                  <c:v>42</c:v>
                </c:pt>
                <c:pt idx="5">
                  <c:v>42</c:v>
                </c:pt>
                <c:pt idx="6">
                  <c:v>42</c:v>
                </c:pt>
                <c:pt idx="7">
                  <c:v>0</c:v>
                </c:pt>
              </c:numCache>
            </c:numRef>
          </c:xVal>
          <c:yVal>
            <c:numRef>
              <c:f>Stabilito!$C$124:$C$131</c:f>
              <c:numCache>
                <c:formatCode>0</c:formatCode>
                <c:ptCount val="8"/>
                <c:pt idx="0">
                  <c:v>-252</c:v>
                </c:pt>
                <c:pt idx="1">
                  <c:v>-252</c:v>
                </c:pt>
                <c:pt idx="2">
                  <c:v>-252</c:v>
                </c:pt>
                <c:pt idx="3">
                  <c:v>-252</c:v>
                </c:pt>
                <c:pt idx="4">
                  <c:v>-252</c:v>
                </c:pt>
                <c:pt idx="5">
                  <c:v>-252</c:v>
                </c:pt>
                <c:pt idx="6">
                  <c:v>-992</c:v>
                </c:pt>
                <c:pt idx="7">
                  <c:v>-992</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42</c:v>
                </c:pt>
                <c:pt idx="1">
                  <c:v>149</c:v>
                </c:pt>
                <c:pt idx="2">
                  <c:v>149</c:v>
                </c:pt>
                <c:pt idx="3">
                  <c:v>42</c:v>
                </c:pt>
                <c:pt idx="4">
                  <c:v>42</c:v>
                </c:pt>
              </c:numCache>
            </c:numRef>
          </c:xVal>
          <c:yVal>
            <c:numRef>
              <c:f>Stabilito!$C$132:$C$136</c:f>
              <c:numCache>
                <c:formatCode>0</c:formatCode>
                <c:ptCount val="5"/>
                <c:pt idx="0">
                  <c:v>-772</c:v>
                </c:pt>
                <c:pt idx="1">
                  <c:v>-892</c:v>
                </c:pt>
                <c:pt idx="2">
                  <c:v>-972</c:v>
                </c:pt>
                <c:pt idx="3">
                  <c:v>-942</c:v>
                </c:pt>
                <c:pt idx="4">
                  <c:v>-772</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-42</c:v>
                </c:pt>
                <c:pt idx="4">
                  <c:v>-42</c:v>
                </c:pt>
                <c:pt idx="5">
                  <c:v>-42</c:v>
                </c:pt>
                <c:pt idx="6">
                  <c:v>-42</c:v>
                </c:pt>
                <c:pt idx="7">
                  <c:v>0</c:v>
                </c:pt>
              </c:numCache>
            </c:numRef>
          </c:xVal>
          <c:yVal>
            <c:numRef>
              <c:f>Stabilito!$C$124:$C$131</c:f>
              <c:numCache>
                <c:formatCode>0</c:formatCode>
                <c:ptCount val="8"/>
                <c:pt idx="0">
                  <c:v>-252</c:v>
                </c:pt>
                <c:pt idx="1">
                  <c:v>-252</c:v>
                </c:pt>
                <c:pt idx="2">
                  <c:v>-252</c:v>
                </c:pt>
                <c:pt idx="3">
                  <c:v>-252</c:v>
                </c:pt>
                <c:pt idx="4">
                  <c:v>-252</c:v>
                </c:pt>
                <c:pt idx="5">
                  <c:v>-252</c:v>
                </c:pt>
                <c:pt idx="6">
                  <c:v>-992</c:v>
                </c:pt>
                <c:pt idx="7">
                  <c:v>-992</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-42</c:v>
                </c:pt>
                <c:pt idx="1">
                  <c:v>-149</c:v>
                </c:pt>
                <c:pt idx="2">
                  <c:v>-149</c:v>
                </c:pt>
                <c:pt idx="3">
                  <c:v>-42</c:v>
                </c:pt>
                <c:pt idx="4">
                  <c:v>-42</c:v>
                </c:pt>
              </c:numCache>
            </c:numRef>
          </c:xVal>
          <c:yVal>
            <c:numRef>
              <c:f>Stabilito!$C$132:$C$136</c:f>
              <c:numCache>
                <c:formatCode>0</c:formatCode>
                <c:ptCount val="5"/>
                <c:pt idx="0">
                  <c:v>-772</c:v>
                </c:pt>
                <c:pt idx="1">
                  <c:v>-892</c:v>
                </c:pt>
                <c:pt idx="2">
                  <c:v>-972</c:v>
                </c:pt>
                <c:pt idx="3">
                  <c:v>-942</c:v>
                </c:pt>
                <c:pt idx="4">
                  <c:v>-772</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-545.41261025808569</c:v>
                </c:pt>
                <c:pt idx="1">
                  <c:v>-537.43903258313742</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87.372101895940062</c:v>
                </c:pt>
                <c:pt idx="2">
                  <c:v>87.372101895940062</c:v>
                </c:pt>
                <c:pt idx="3">
                  <c:v>0</c:v>
                </c:pt>
              </c:numCache>
            </c:numRef>
          </c:xVal>
          <c:yVal>
            <c:numRef>
              <c:f>Stabilito!$C$151:$C$154</c:f>
              <c:numCache>
                <c:formatCode>0</c:formatCode>
                <c:ptCount val="4"/>
                <c:pt idx="0">
                  <c:v>-769.02762675440692</c:v>
                </c:pt>
                <c:pt idx="1">
                  <c:v>-769.02762675440692</c:v>
                </c:pt>
                <c:pt idx="2">
                  <c:v>-769.02762675440692</c:v>
                </c:pt>
                <c:pt idx="3">
                  <c:v>-769.02762675440692</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330.66666666666669</c:v>
                </c:pt>
                <c:pt idx="1">
                  <c:v>-330.66666666666669</c:v>
                </c:pt>
              </c:numCache>
            </c:numRef>
          </c:xVal>
          <c:yVal>
            <c:numRef>
              <c:f>Stabilito!$C$168:$C$169</c:f>
              <c:numCache>
                <c:formatCode>0</c:formatCode>
                <c:ptCount val="2"/>
                <c:pt idx="0">
                  <c:v>-1001.92</c:v>
                </c:pt>
                <c:pt idx="1">
                  <c:v>-1001.92</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-12</c:v>
                </c:pt>
                <c:pt idx="1">
                  <c:v>12</c:v>
                </c:pt>
                <c:pt idx="2">
                  <c:v>12</c:v>
                </c:pt>
                <c:pt idx="3">
                  <c:v>-12</c:v>
                </c:pt>
                <c:pt idx="4">
                  <c:v>-12</c:v>
                </c:pt>
              </c:numCache>
            </c:numRef>
          </c:xVal>
          <c:yVal>
            <c:numRef>
              <c:f>Stabilito!$C$170:$C$174</c:f>
              <c:numCache>
                <c:formatCode>0</c:formatCode>
                <c:ptCount val="5"/>
                <c:pt idx="0">
                  <c:v>-714</c:v>
                </c:pt>
                <c:pt idx="1">
                  <c:v>-714</c:v>
                </c:pt>
                <c:pt idx="2">
                  <c:v>-942</c:v>
                </c:pt>
                <c:pt idx="3">
                  <c:v>-942</c:v>
                </c:pt>
                <c:pt idx="4">
                  <c:v>-714</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-149</c:v>
                </c:pt>
                <c:pt idx="1">
                  <c:v>-95.5</c:v>
                </c:pt>
                <c:pt idx="2">
                  <c:v>-42</c:v>
                </c:pt>
              </c:numCache>
            </c:numRef>
          </c:xVal>
          <c:yVal>
            <c:numRef>
              <c:f>Stabilito!$C$137:$C$139</c:f>
              <c:numCache>
                <c:formatCode>0</c:formatCode>
                <c:ptCount val="3"/>
                <c:pt idx="0">
                  <c:v>-1005.0666666666667</c:v>
                </c:pt>
                <c:pt idx="1">
                  <c:v>-1005.0666666666667</c:v>
                </c:pt>
                <c:pt idx="2">
                  <c:v>-1005.0666666666667</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-182.06666666666666</c:v>
                </c:pt>
                <c:pt idx="1">
                  <c:v>-182.06666666666666</c:v>
                </c:pt>
                <c:pt idx="2">
                  <c:v>-182.06666666666666</c:v>
                </c:pt>
              </c:numCache>
            </c:numRef>
          </c:xVal>
          <c:yVal>
            <c:numRef>
              <c:f>Stabilito!$C$143:$C$145</c:f>
              <c:numCache>
                <c:formatCode>0</c:formatCode>
                <c:ptCount val="3"/>
                <c:pt idx="0">
                  <c:v>-772</c:v>
                </c:pt>
                <c:pt idx="1">
                  <c:v>-832</c:v>
                </c:pt>
                <c:pt idx="2">
                  <c:v>-892</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-198.6</c:v>
                </c:pt>
                <c:pt idx="1">
                  <c:v>-198.6</c:v>
                </c:pt>
                <c:pt idx="2">
                  <c:v>-198.6</c:v>
                </c:pt>
              </c:numCache>
            </c:numRef>
          </c:xVal>
          <c:yVal>
            <c:numRef>
              <c:f>Stabilito!$C$146:$C$148</c:f>
              <c:numCache>
                <c:formatCode>0</c:formatCode>
                <c:ptCount val="3"/>
                <c:pt idx="0">
                  <c:v>-892</c:v>
                </c:pt>
                <c:pt idx="1">
                  <c:v>-932</c:v>
                </c:pt>
                <c:pt idx="2">
                  <c:v>-972</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198.6</c:v>
                </c:pt>
                <c:pt idx="1">
                  <c:v>198.6</c:v>
                </c:pt>
                <c:pt idx="2">
                  <c:v>198.6</c:v>
                </c:pt>
              </c:numCache>
            </c:numRef>
          </c:xVal>
          <c:yVal>
            <c:numRef>
              <c:f>Stabilito!$C$140:$C$142</c:f>
              <c:numCache>
                <c:formatCode>0</c:formatCode>
                <c:ptCount val="3"/>
                <c:pt idx="0">
                  <c:v>-772</c:v>
                </c:pt>
                <c:pt idx="1">
                  <c:v>-857</c:v>
                </c:pt>
                <c:pt idx="2">
                  <c:v>-942</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-198.6</c:v>
                </c:pt>
                <c:pt idx="1">
                  <c:v>-198.6</c:v>
                </c:pt>
                <c:pt idx="2">
                  <c:v>-198.6</c:v>
                </c:pt>
              </c:numCache>
            </c:numRef>
          </c:xVal>
          <c:yVal>
            <c:numRef>
              <c:f>Stabilito!$C$155:$C$157</c:f>
              <c:numCache>
                <c:formatCode>0</c:formatCode>
                <c:ptCount val="3"/>
                <c:pt idx="0">
                  <c:v>-541.42582142061156</c:v>
                </c:pt>
                <c:pt idx="1">
                  <c:v>-655.22672408750918</c:v>
                </c:pt>
                <c:pt idx="2">
                  <c:v>-769.02762675440692</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42 mm</c:v>
                </c:pt>
              </c:strCache>
            </c:strRef>
          </c:tx>
          <c:xVal>
            <c:numRef>
              <c:f>Abaco!$D$43:$D$51</c:f>
              <c:numCache>
                <c:formatCode>General\ "kg"</c:formatCode>
                <c:ptCount val="9"/>
                <c:pt idx="0">
                  <c:v>0.15989999999999999</c:v>
                </c:pt>
                <c:pt idx="1">
                  <c:v>0.80865000000000009</c:v>
                </c:pt>
                <c:pt idx="2">
                  <c:v>1.4574</c:v>
                </c:pt>
                <c:pt idx="3">
                  <c:v>2.10615</c:v>
                </c:pt>
                <c:pt idx="4">
                  <c:v>2.7549000000000001</c:v>
                </c:pt>
                <c:pt idx="5">
                  <c:v>3.4036500000000003</c:v>
                </c:pt>
                <c:pt idx="6">
                  <c:v>4.0524000000000004</c:v>
                </c:pt>
                <c:pt idx="7">
                  <c:v>4.7011500000000011</c:v>
                </c:pt>
                <c:pt idx="8">
                  <c:v>5.3499000000000008</c:v>
                </c:pt>
              </c:numCache>
            </c:numRef>
          </c:xVal>
          <c:yVal>
            <c:numRef>
              <c:f>Abaco!$K$43:$K$51</c:f>
              <c:numCache>
                <c:formatCode>General" m/s"</c:formatCode>
                <c:ptCount val="9"/>
                <c:pt idx="0">
                  <c:v>369.32332981562001</c:v>
                </c:pt>
                <c:pt idx="1">
                  <c:v>154.11441972347129</c:v>
                </c:pt>
                <c:pt idx="2">
                  <c:v>79.195509595649895</c:v>
                </c:pt>
                <c:pt idx="3">
                  <c:v>48.852311960598925</c:v>
                </c:pt>
                <c:pt idx="4">
                  <c:v>32.669769402602057</c:v>
                </c:pt>
                <c:pt idx="5">
                  <c:v>22.647357475607159</c:v>
                </c:pt>
                <c:pt idx="6">
                  <c:v>15.83926142122403</c:v>
                </c:pt>
                <c:pt idx="7">
                  <c:v>10.915886981747494</c:v>
                </c:pt>
                <c:pt idx="8">
                  <c:v>7.1909488775920796</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84 mm</c:v>
                </c:pt>
              </c:strCache>
            </c:strRef>
          </c:tx>
          <c:xVal>
            <c:numRef>
              <c:f>Abaco!$D$52:$D$60</c:f>
              <c:numCache>
                <c:formatCode>General\ "kg"</c:formatCode>
                <c:ptCount val="9"/>
                <c:pt idx="0">
                  <c:v>0.15989999999999999</c:v>
                </c:pt>
                <c:pt idx="1">
                  <c:v>0.80865000000000009</c:v>
                </c:pt>
                <c:pt idx="2">
                  <c:v>1.4574</c:v>
                </c:pt>
                <c:pt idx="3">
                  <c:v>2.10615</c:v>
                </c:pt>
                <c:pt idx="4">
                  <c:v>2.7549000000000001</c:v>
                </c:pt>
                <c:pt idx="5">
                  <c:v>3.4036500000000003</c:v>
                </c:pt>
                <c:pt idx="6">
                  <c:v>4.0524000000000004</c:v>
                </c:pt>
                <c:pt idx="7">
                  <c:v>4.7011500000000011</c:v>
                </c:pt>
                <c:pt idx="8">
                  <c:v>5.3499000000000008</c:v>
                </c:pt>
              </c:numCache>
            </c:numRef>
          </c:xVal>
          <c:yVal>
            <c:numRef>
              <c:f>Abaco!$K$52:$K$60</c:f>
              <c:numCache>
                <c:formatCode>General" m/s"</c:formatCode>
                <c:ptCount val="9"/>
                <c:pt idx="0">
                  <c:v>185.42201346176171</c:v>
                </c:pt>
                <c:pt idx="1">
                  <c:v>129.51143749249246</c:v>
                </c:pt>
                <c:pt idx="2">
                  <c:v>75.014464217924001</c:v>
                </c:pt>
                <c:pt idx="3">
                  <c:v>47.713919924024111</c:v>
                </c:pt>
                <c:pt idx="4">
                  <c:v>32.276197603591115</c:v>
                </c:pt>
                <c:pt idx="5">
                  <c:v>22.493589893178513</c:v>
                </c:pt>
                <c:pt idx="6">
                  <c:v>15.77596450892529</c:v>
                </c:pt>
                <c:pt idx="7">
                  <c:v>10.889950111846426</c:v>
                </c:pt>
                <c:pt idx="8">
                  <c:v>7.1810545927682581</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126 mm</c:v>
                </c:pt>
              </c:strCache>
            </c:strRef>
          </c:tx>
          <c:xVal>
            <c:numRef>
              <c:f>Abaco!$D$61:$D$69</c:f>
              <c:numCache>
                <c:formatCode>General\ "kg"</c:formatCode>
                <c:ptCount val="9"/>
                <c:pt idx="0">
                  <c:v>0.15989999999999999</c:v>
                </c:pt>
                <c:pt idx="1">
                  <c:v>0.80865000000000009</c:v>
                </c:pt>
                <c:pt idx="2">
                  <c:v>1.4574</c:v>
                </c:pt>
                <c:pt idx="3">
                  <c:v>2.10615</c:v>
                </c:pt>
                <c:pt idx="4">
                  <c:v>2.7549000000000001</c:v>
                </c:pt>
                <c:pt idx="5">
                  <c:v>3.4036500000000003</c:v>
                </c:pt>
                <c:pt idx="6">
                  <c:v>4.0524000000000004</c:v>
                </c:pt>
                <c:pt idx="7">
                  <c:v>4.7011500000000011</c:v>
                </c:pt>
                <c:pt idx="8">
                  <c:v>5.3499000000000008</c:v>
                </c:pt>
              </c:numCache>
            </c:numRef>
          </c:xVal>
          <c:yVal>
            <c:numRef>
              <c:f>Abaco!$K$61:$K$69</c:f>
              <c:numCache>
                <c:formatCode>General" m/s"</c:formatCode>
                <c:ptCount val="9"/>
                <c:pt idx="0">
                  <c:v>123.6157213781817</c:v>
                </c:pt>
                <c:pt idx="1">
                  <c:v>104.3843762398344</c:v>
                </c:pt>
                <c:pt idx="2">
                  <c:v>69.110871429725961</c:v>
                </c:pt>
                <c:pt idx="3">
                  <c:v>45.951780444975228</c:v>
                </c:pt>
                <c:pt idx="4">
                  <c:v>31.644936863165249</c:v>
                </c:pt>
                <c:pt idx="5">
                  <c:v>22.242804138536886</c:v>
                </c:pt>
                <c:pt idx="6">
                  <c:v>15.671808010910629</c:v>
                </c:pt>
                <c:pt idx="7">
                  <c:v>10.847049121965949</c:v>
                </c:pt>
                <c:pt idx="8">
                  <c:v>7.1646365262802352</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42 mm</c:v>
                </c:pt>
              </c:strCache>
            </c:strRef>
          </c:tx>
          <c:xVal>
            <c:numRef>
              <c:f>Abaco!$D$43:$D$51</c:f>
              <c:numCache>
                <c:formatCode>General\ "kg"</c:formatCode>
                <c:ptCount val="9"/>
                <c:pt idx="0">
                  <c:v>0.15989999999999999</c:v>
                </c:pt>
                <c:pt idx="1">
                  <c:v>0.80865000000000009</c:v>
                </c:pt>
                <c:pt idx="2">
                  <c:v>1.4574</c:v>
                </c:pt>
                <c:pt idx="3">
                  <c:v>2.10615</c:v>
                </c:pt>
                <c:pt idx="4">
                  <c:v>2.7549000000000001</c:v>
                </c:pt>
                <c:pt idx="5">
                  <c:v>3.4036500000000003</c:v>
                </c:pt>
                <c:pt idx="6">
                  <c:v>4.0524000000000004</c:v>
                </c:pt>
                <c:pt idx="7">
                  <c:v>4.7011500000000011</c:v>
                </c:pt>
                <c:pt idx="8">
                  <c:v>5.3499000000000008</c:v>
                </c:pt>
              </c:numCache>
            </c:numRef>
          </c:xVal>
          <c:yVal>
            <c:numRef>
              <c:f>Abaco!$L$43:$L$51</c:f>
              <c:numCache>
                <c:formatCode>General" m"</c:formatCode>
                <c:ptCount val="9"/>
                <c:pt idx="0">
                  <c:v>943.72596711044525</c:v>
                </c:pt>
                <c:pt idx="1">
                  <c:v>869.58791340694938</c:v>
                </c:pt>
                <c:pt idx="2">
                  <c:v>367.00115585915199</c:v>
                </c:pt>
                <c:pt idx="3">
                  <c:v>167.12160450883044</c:v>
                </c:pt>
                <c:pt idx="4">
                  <c:v>86.581100872897153</c:v>
                </c:pt>
                <c:pt idx="5">
                  <c:v>48.711081375837537</c:v>
                </c:pt>
                <c:pt idx="6">
                  <c:v>28.61604896533661</c:v>
                </c:pt>
                <c:pt idx="7">
                  <c:v>16.989389200558328</c:v>
                </c:pt>
                <c:pt idx="8">
                  <c:v>9.8274939271863087</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84 mm</c:v>
                </c:pt>
              </c:strCache>
            </c:strRef>
          </c:tx>
          <c:xVal>
            <c:numRef>
              <c:f>Abaco!$D$52:$D$60</c:f>
              <c:numCache>
                <c:formatCode>General\ "kg"</c:formatCode>
                <c:ptCount val="9"/>
                <c:pt idx="0">
                  <c:v>0.15989999999999999</c:v>
                </c:pt>
                <c:pt idx="1">
                  <c:v>0.80865000000000009</c:v>
                </c:pt>
                <c:pt idx="2">
                  <c:v>1.4574</c:v>
                </c:pt>
                <c:pt idx="3">
                  <c:v>2.10615</c:v>
                </c:pt>
                <c:pt idx="4">
                  <c:v>2.7549000000000001</c:v>
                </c:pt>
                <c:pt idx="5">
                  <c:v>3.4036500000000003</c:v>
                </c:pt>
                <c:pt idx="6">
                  <c:v>4.0524000000000004</c:v>
                </c:pt>
                <c:pt idx="7">
                  <c:v>4.7011500000000011</c:v>
                </c:pt>
                <c:pt idx="8">
                  <c:v>5.3499000000000008</c:v>
                </c:pt>
              </c:numCache>
            </c:numRef>
          </c:xVal>
          <c:yVal>
            <c:numRef>
              <c:f>Abaco!$L$52:$L$60</c:f>
              <c:numCache>
                <c:formatCode>General" m"</c:formatCode>
                <c:ptCount val="9"/>
                <c:pt idx="0">
                  <c:v>421.40012018928473</c:v>
                </c:pt>
                <c:pt idx="1">
                  <c:v>460.38388391356466</c:v>
                </c:pt>
                <c:pt idx="2">
                  <c:v>285.64129540267635</c:v>
                </c:pt>
                <c:pt idx="3">
                  <c:v>152.78851602133287</c:v>
                </c:pt>
                <c:pt idx="4">
                  <c:v>83.600428934212886</c:v>
                </c:pt>
                <c:pt idx="5">
                  <c:v>47.985465170862291</c:v>
                </c:pt>
                <c:pt idx="6">
                  <c:v>28.421510189072684</c:v>
                </c:pt>
                <c:pt idx="7">
                  <c:v>16.935600897388287</c:v>
                </c:pt>
                <c:pt idx="8">
                  <c:v>9.8133009719111186</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126 mm</c:v>
                </c:pt>
              </c:strCache>
            </c:strRef>
          </c:tx>
          <c:xVal>
            <c:numRef>
              <c:f>Abaco!$D$61:$D$69</c:f>
              <c:numCache>
                <c:formatCode>General\ "kg"</c:formatCode>
                <c:ptCount val="9"/>
                <c:pt idx="0">
                  <c:v>0.15989999999999999</c:v>
                </c:pt>
                <c:pt idx="1">
                  <c:v>0.80865000000000009</c:v>
                </c:pt>
                <c:pt idx="2">
                  <c:v>1.4574</c:v>
                </c:pt>
                <c:pt idx="3">
                  <c:v>2.10615</c:v>
                </c:pt>
                <c:pt idx="4">
                  <c:v>2.7549000000000001</c:v>
                </c:pt>
                <c:pt idx="5">
                  <c:v>3.4036500000000003</c:v>
                </c:pt>
                <c:pt idx="6">
                  <c:v>4.0524000000000004</c:v>
                </c:pt>
                <c:pt idx="7">
                  <c:v>4.7011500000000011</c:v>
                </c:pt>
                <c:pt idx="8">
                  <c:v>5.3499000000000008</c:v>
                </c:pt>
              </c:numCache>
            </c:numRef>
          </c:xVal>
          <c:yVal>
            <c:numRef>
              <c:f>Abaco!$L$61:$L$69</c:f>
              <c:numCache>
                <c:formatCode>General" m"</c:formatCode>
                <c:ptCount val="9"/>
                <c:pt idx="0">
                  <c:v>269.6994657695717</c:v>
                </c:pt>
                <c:pt idx="1">
                  <c:v>294.78817191944802</c:v>
                </c:pt>
                <c:pt idx="2">
                  <c:v>219.46105267553858</c:v>
                </c:pt>
                <c:pt idx="3">
                  <c:v>135.27362533982927</c:v>
                </c:pt>
                <c:pt idx="4">
                  <c:v>79.259295278125165</c:v>
                </c:pt>
                <c:pt idx="5">
                  <c:v>46.848383650956166</c:v>
                </c:pt>
                <c:pt idx="6">
                  <c:v>28.106657170276758</c:v>
                </c:pt>
                <c:pt idx="7">
                  <c:v>16.847214249826916</c:v>
                </c:pt>
                <c:pt idx="8">
                  <c:v>9.7898025804064943</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42 mm</c:v>
                </c:pt>
              </c:strCache>
            </c:strRef>
          </c:tx>
          <c:xVal>
            <c:numRef>
              <c:f>Abaco!$D$43:$D$51</c:f>
              <c:numCache>
                <c:formatCode>General\ "kg"</c:formatCode>
                <c:ptCount val="9"/>
                <c:pt idx="0">
                  <c:v>0.15989999999999999</c:v>
                </c:pt>
                <c:pt idx="1">
                  <c:v>0.80865000000000009</c:v>
                </c:pt>
                <c:pt idx="2">
                  <c:v>1.4574</c:v>
                </c:pt>
                <c:pt idx="3">
                  <c:v>2.10615</c:v>
                </c:pt>
                <c:pt idx="4">
                  <c:v>2.7549000000000001</c:v>
                </c:pt>
                <c:pt idx="5">
                  <c:v>3.4036500000000003</c:v>
                </c:pt>
                <c:pt idx="6">
                  <c:v>4.0524000000000004</c:v>
                </c:pt>
                <c:pt idx="7">
                  <c:v>4.7011500000000011</c:v>
                </c:pt>
                <c:pt idx="8">
                  <c:v>5.3499000000000008</c:v>
                </c:pt>
              </c:numCache>
            </c:numRef>
          </c:xVal>
          <c:yVal>
            <c:numRef>
              <c:f>Abaco!$M$43:$M$51</c:f>
              <c:numCache>
                <c:formatCode>General" s"</c:formatCode>
                <c:ptCount val="9"/>
                <c:pt idx="0">
                  <c:v>8.0066772056142064</c:v>
                </c:pt>
                <c:pt idx="1">
                  <c:v>13.071543582346775</c:v>
                </c:pt>
                <c:pt idx="2">
                  <c:v>9.5158489144982177</c:v>
                </c:pt>
                <c:pt idx="3">
                  <c:v>6.88214245905049</c:v>
                </c:pt>
                <c:pt idx="4">
                  <c:v>5.3075812002044334</c:v>
                </c:pt>
                <c:pt idx="5">
                  <c:v>4.3024732030782351</c:v>
                </c:pt>
                <c:pt idx="6">
                  <c:v>3.6128448549938312</c:v>
                </c:pt>
                <c:pt idx="7">
                  <c:v>3.1122350696057812</c:v>
                </c:pt>
                <c:pt idx="8">
                  <c:v>2.7328980183732496</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84 mm</c:v>
                </c:pt>
              </c:strCache>
            </c:strRef>
          </c:tx>
          <c:xVal>
            <c:numRef>
              <c:f>Abaco!$D$52:$D$60</c:f>
              <c:numCache>
                <c:formatCode>General\ "kg"</c:formatCode>
                <c:ptCount val="9"/>
                <c:pt idx="0">
                  <c:v>0.15989999999999999</c:v>
                </c:pt>
                <c:pt idx="1">
                  <c:v>0.80865000000000009</c:v>
                </c:pt>
                <c:pt idx="2">
                  <c:v>1.4574</c:v>
                </c:pt>
                <c:pt idx="3">
                  <c:v>2.10615</c:v>
                </c:pt>
                <c:pt idx="4">
                  <c:v>2.7549000000000001</c:v>
                </c:pt>
                <c:pt idx="5">
                  <c:v>3.4036500000000003</c:v>
                </c:pt>
                <c:pt idx="6">
                  <c:v>4.0524000000000004</c:v>
                </c:pt>
                <c:pt idx="7">
                  <c:v>4.7011500000000011</c:v>
                </c:pt>
                <c:pt idx="8">
                  <c:v>5.3499000000000008</c:v>
                </c:pt>
              </c:numCache>
            </c:numRef>
          </c:xVal>
          <c:yVal>
            <c:numRef>
              <c:f>Abaco!$M$52:$M$60</c:f>
              <c:numCache>
                <c:formatCode>General" s"</c:formatCode>
                <c:ptCount val="9"/>
                <c:pt idx="0">
                  <c:v>5.004247001248757</c:v>
                </c:pt>
                <c:pt idx="1">
                  <c:v>8.9091657329130758</c:v>
                </c:pt>
                <c:pt idx="2">
                  <c:v>8.183009592393141</c:v>
                </c:pt>
                <c:pt idx="3">
                  <c:v>6.5317077378753554</c:v>
                </c:pt>
                <c:pt idx="4">
                  <c:v>5.2056608322537183</c:v>
                </c:pt>
                <c:pt idx="5">
                  <c:v>4.2692482337236193</c:v>
                </c:pt>
                <c:pt idx="6">
                  <c:v>3.6012404506881524</c:v>
                </c:pt>
                <c:pt idx="7">
                  <c:v>3.1081234017544377</c:v>
                </c:pt>
                <c:pt idx="8">
                  <c:v>2.7315190472875144</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126 mm</c:v>
                </c:pt>
              </c:strCache>
            </c:strRef>
          </c:tx>
          <c:xVal>
            <c:numRef>
              <c:f>Abaco!$D$61:$D$69</c:f>
              <c:numCache>
                <c:formatCode>General\ "kg"</c:formatCode>
                <c:ptCount val="9"/>
                <c:pt idx="0">
                  <c:v>0.15989999999999999</c:v>
                </c:pt>
                <c:pt idx="1">
                  <c:v>0.80865000000000009</c:v>
                </c:pt>
                <c:pt idx="2">
                  <c:v>1.4574</c:v>
                </c:pt>
                <c:pt idx="3">
                  <c:v>2.10615</c:v>
                </c:pt>
                <c:pt idx="4">
                  <c:v>2.7549000000000001</c:v>
                </c:pt>
                <c:pt idx="5">
                  <c:v>3.4036500000000003</c:v>
                </c:pt>
                <c:pt idx="6">
                  <c:v>4.0524000000000004</c:v>
                </c:pt>
                <c:pt idx="7">
                  <c:v>4.7011500000000011</c:v>
                </c:pt>
                <c:pt idx="8">
                  <c:v>5.3499000000000008</c:v>
                </c:pt>
              </c:numCache>
            </c:numRef>
          </c:xVal>
          <c:yVal>
            <c:numRef>
              <c:f>Abaco!$M$61:$M$69</c:f>
              <c:numCache>
                <c:formatCode>General" s"</c:formatCode>
                <c:ptCount val="9"/>
                <c:pt idx="0">
                  <c:v>4.0028325784479488</c:v>
                </c:pt>
                <c:pt idx="1">
                  <c:v>6.8784671877477104</c:v>
                </c:pt>
                <c:pt idx="2">
                  <c:v>7.0122465756912531</c:v>
                </c:pt>
                <c:pt idx="3">
                  <c:v>6.0908835523235991</c:v>
                </c:pt>
                <c:pt idx="4">
                  <c:v>5.0555629135101423</c:v>
                </c:pt>
                <c:pt idx="5">
                  <c:v>4.2169622480120204</c:v>
                </c:pt>
                <c:pt idx="6">
                  <c:v>3.5824323212850278</c:v>
                </c:pt>
                <c:pt idx="7">
                  <c:v>3.1013651678686855</c:v>
                </c:pt>
                <c:pt idx="8">
                  <c:v>2.7292363810855376</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30</c:v>
                </c:pt>
                <c:pt idx="1">
                  <c:v>30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1.5</c:v>
                </c:pt>
                <c:pt idx="1">
                  <c:v>1.5</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60</c:v>
                </c:pt>
                <c:pt idx="1">
                  <c:v>30</c:v>
                </c:pt>
                <c:pt idx="2">
                  <c:v>15</c:v>
                </c:pt>
                <c:pt idx="3">
                  <c:v>10</c:v>
                </c:pt>
                <c:pt idx="4">
                  <c:v>6</c:v>
                </c:pt>
                <c:pt idx="5">
                  <c:v>4.2857142857142856</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1.5</c:v>
                </c:pt>
              </c:numCache>
            </c:numRef>
          </c:xVal>
          <c:yVal>
            <c:numRef>
              <c:f>Stabilito!$C$195:$C$196</c:f>
              <c:numCache>
                <c:formatCode>General</c:formatCode>
                <c:ptCount val="2"/>
                <c:pt idx="0">
                  <c:v>22.5</c:v>
                </c:pt>
                <c:pt idx="1">
                  <c:v>22.5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4.4444444444444446</c:v>
                </c:pt>
                <c:pt idx="1">
                  <c:v>7</c:v>
                </c:pt>
              </c:numCache>
            </c:numRef>
          </c:xVal>
          <c:yVal>
            <c:numRef>
              <c:f>Stabilito!$C$197:$C$198</c:f>
              <c:numCache>
                <c:formatCode>General</c:formatCode>
                <c:ptCount val="2"/>
                <c:pt idx="0">
                  <c:v>22.5</c:v>
                </c:pt>
                <c:pt idx="1">
                  <c:v>22.5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3.75</c:v>
                </c:pt>
                <c:pt idx="1">
                  <c:v>3.75</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3.75</c:v>
                </c:pt>
                <c:pt idx="1">
                  <c:v>3.75</c:v>
                </c:pt>
              </c:numCache>
            </c:numRef>
          </c:xVal>
          <c:yVal>
            <c:numRef>
              <c:f>Stabilito!$C$201:$C$202</c:f>
              <c:numCache>
                <c:formatCode>General</c:formatCode>
                <c:ptCount val="2"/>
                <c:pt idx="0">
                  <c:v>26.666666666666668</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2.6620835297181098</c:v>
                </c:pt>
                <c:pt idx="1">
                  <c:v>2.6620835297181098</c:v>
                </c:pt>
                <c:pt idx="2">
                  <c:v>2.7570070734674941</c:v>
                </c:pt>
                <c:pt idx="3">
                  <c:v>2.7570070734674941</c:v>
                </c:pt>
              </c:numCache>
            </c:numRef>
          </c:xVal>
          <c:yVal>
            <c:numRef>
              <c:f>Stabilito!$C$190:$C$193</c:f>
              <c:numCache>
                <c:formatCode>0.00</c:formatCode>
                <c:ptCount val="4"/>
                <c:pt idx="0">
                  <c:v>15.602161052846441</c:v>
                </c:pt>
                <c:pt idx="1">
                  <c:v>15.602161052846441</c:v>
                </c:pt>
                <c:pt idx="2">
                  <c:v>15.602161052846441</c:v>
                </c:pt>
                <c:pt idx="3">
                  <c:v>15.602161052846441</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2.7570070734674941</c:v>
                </c:pt>
                <c:pt idx="1">
                  <c:v>2.6620835297181098</c:v>
                </c:pt>
              </c:numCache>
            </c:numRef>
          </c:xVal>
          <c:yVal>
            <c:numRef>
              <c:f>Stabilito!$C$193:$C$194</c:f>
              <c:numCache>
                <c:formatCode>0.00</c:formatCode>
                <c:ptCount val="2"/>
                <c:pt idx="0">
                  <c:v>15.602161052846441</c:v>
                </c:pt>
                <c:pt idx="1">
                  <c:v>15.602161052846441</c:v>
                </c:pt>
              </c:numCache>
            </c:numRef>
          </c:yVal>
          <c:smooth val="0"/>
          <c:extLst>
            <c:ext xmlns:c16="http://schemas.microsoft.com/office/drawing/2014/chart" uri="{C3380CC4-5D6E-409C-BE32-E72D297353CC}">
              <c16:uniqueId val="{0000000B-DD97-4068-951F-4990D529CDCA}"/>
            </c:ext>
          </c:extLst>
        </c:ser>
        <c:ser>
          <c:idx val="12"/>
          <c:order val="12"/>
          <c:tx>
            <c:strRef>
              <c:f>Stabilito!$U$29</c:f>
              <c:strCache>
                <c:ptCount val="1"/>
                <c:pt idx="0">
                  <c:v>OpenRocket</c:v>
                </c:pt>
              </c:strCache>
            </c:strRef>
          </c:tx>
          <c:xVal>
            <c:numRef>
              <c:f>Stabilito!$U$31:$U$32</c:f>
              <c:numCache>
                <c:formatCode>General</c:formatCode>
                <c:ptCount val="2"/>
                <c:pt idx="0">
                  <c:v>3.52</c:v>
                </c:pt>
                <c:pt idx="1">
                  <c:v>3.64</c:v>
                </c:pt>
              </c:numCache>
            </c:numRef>
          </c:xVal>
          <c:yVal>
            <c:numRef>
              <c:f>Stabilito!$V$31:$V$32</c:f>
              <c:numCache>
                <c:formatCode>General</c:formatCode>
                <c:ptCount val="2"/>
                <c:pt idx="0">
                  <c:v>15.795999999999999</c:v>
                </c:pt>
                <c:pt idx="1">
                  <c:v>15.795999999999999</c:v>
                </c:pt>
              </c:numCache>
            </c:numRef>
          </c:yVal>
          <c:smooth val="0"/>
          <c:extLst>
            <c:ext xmlns:c16="http://schemas.microsoft.com/office/drawing/2014/chart" uri="{C3380CC4-5D6E-409C-BE32-E72D297353CC}">
              <c16:uniqueId val="{00000002-5321-498C-81FE-E91675A8766E}"/>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1465.9606677276442</c:v>
                </c:pt>
              </c:numCache>
            </c:numRef>
          </c:xVal>
          <c:yVal>
            <c:numRef>
              <c:f>Trajecto!$C$121</c:f>
              <c:numCache>
                <c:formatCode>0</c:formatCode>
                <c:ptCount val="1"/>
                <c:pt idx="0">
                  <c:v>1465.9606677276442</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-1</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133.11991362279562</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173.17746332756056</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208.05115648139795</c:v>
                </c:pt>
                <c:pt idx="209">
                  <c:v>#N/A</c:v>
                </c:pt>
                <c:pt idx="210">
                  <c:v>#N/A</c:v>
                </c:pt>
                <c:pt idx="211">
                  <c:v>#N/A</c:v>
                </c:pt>
                <c:pt idx="212">
                  <c:v>#N/A</c:v>
                </c:pt>
                <c:pt idx="213">
                  <c:v>#N/A</c:v>
                </c:pt>
                <c:pt idx="214">
                  <c:v>#N/A</c:v>
                </c:pt>
                <c:pt idx="215">
                  <c:v>#N/A</c:v>
                </c:pt>
                <c:pt idx="216">
                  <c:v>#N/A</c:v>
                </c:pt>
                <c:pt idx="217">
                  <c:v>#N/A</c:v>
                </c:pt>
                <c:pt idx="218">
                  <c:v>239.14920005286635</c:v>
                </c:pt>
                <c:pt idx="219">
                  <c:v>#N/A</c:v>
                </c:pt>
                <c:pt idx="220">
                  <c:v>#N/A</c:v>
                </c:pt>
                <c:pt idx="221">
                  <c:v>#N/A</c:v>
                </c:pt>
                <c:pt idx="222">
                  <c:v>#N/A</c:v>
                </c:pt>
                <c:pt idx="223">
                  <c:v>#N/A</c:v>
                </c:pt>
                <c:pt idx="224">
                  <c:v>#N/A</c:v>
                </c:pt>
                <c:pt idx="225">
                  <c:v>#N/A</c:v>
                </c:pt>
                <c:pt idx="226">
                  <c:v>#N/A</c:v>
                </c:pt>
                <c:pt idx="227">
                  <c:v>#N/A</c:v>
                </c:pt>
                <c:pt idx="228">
                  <c:v>267.45357191573822</c:v>
                </c:pt>
                <c:pt idx="229">
                  <c:v>#N/A</c:v>
                </c:pt>
                <c:pt idx="230">
                  <c:v>#N/A</c:v>
                </c:pt>
                <c:pt idx="231">
                  <c:v>#N/A</c:v>
                </c:pt>
                <c:pt idx="232">
                  <c:v>#N/A</c:v>
                </c:pt>
                <c:pt idx="233">
                  <c:v>#N/A</c:v>
                </c:pt>
                <c:pt idx="234">
                  <c:v>#N/A</c:v>
                </c:pt>
                <c:pt idx="235">
                  <c:v>#N/A</c:v>
                </c:pt>
                <c:pt idx="236">
                  <c:v>#N/A</c:v>
                </c:pt>
                <c:pt idx="237">
                  <c:v>#N/A</c:v>
                </c:pt>
                <c:pt idx="238">
                  <c:v>293.64035428144274</c:v>
                </c:pt>
                <c:pt idx="239">
                  <c:v>#N/A</c:v>
                </c:pt>
                <c:pt idx="240">
                  <c:v>#N/A</c:v>
                </c:pt>
                <c:pt idx="241">
                  <c:v>#N/A</c:v>
                </c:pt>
                <c:pt idx="242">
                  <c:v>#N/A</c:v>
                </c:pt>
                <c:pt idx="243">
                  <c:v>#N/A</c:v>
                </c:pt>
                <c:pt idx="244">
                  <c:v>#N/A</c:v>
                </c:pt>
                <c:pt idx="245">
                  <c:v>#N/A</c:v>
                </c:pt>
                <c:pt idx="246">
                  <c:v>#N/A</c:v>
                </c:pt>
                <c:pt idx="247">
                  <c:v>#N/A</c:v>
                </c:pt>
                <c:pt idx="248">
                  <c:v>318.19821668935936</c:v>
                </c:pt>
                <c:pt idx="249">
                  <c:v>#N/A</c:v>
                </c:pt>
                <c:pt idx="250">
                  <c:v>#N/A</c:v>
                </c:pt>
                <c:pt idx="251">
                  <c:v>#N/A</c:v>
                </c:pt>
                <c:pt idx="252">
                  <c:v>#N/A</c:v>
                </c:pt>
                <c:pt idx="253">
                  <c:v>#N/A</c:v>
                </c:pt>
                <c:pt idx="254">
                  <c:v>#N/A</c:v>
                </c:pt>
                <c:pt idx="255">
                  <c:v>#N/A</c:v>
                </c:pt>
                <c:pt idx="256">
                  <c:v>#N/A</c:v>
                </c:pt>
                <c:pt idx="257">
                  <c:v>#N/A</c:v>
                </c:pt>
                <c:pt idx="258">
                  <c:v>341.49511165527343</c:v>
                </c:pt>
                <c:pt idx="259">
                  <c:v>#N/A</c:v>
                </c:pt>
                <c:pt idx="260">
                  <c:v>#N/A</c:v>
                </c:pt>
                <c:pt idx="261">
                  <c:v>#N/A</c:v>
                </c:pt>
                <c:pt idx="262">
                  <c:v>#N/A</c:v>
                </c:pt>
                <c:pt idx="263">
                  <c:v>#N/A</c:v>
                </c:pt>
                <c:pt idx="264">
                  <c:v>#N/A</c:v>
                </c:pt>
                <c:pt idx="265">
                  <c:v>#N/A</c:v>
                </c:pt>
                <c:pt idx="266">
                  <c:v>#N/A</c:v>
                </c:pt>
                <c:pt idx="267">
                  <c:v>#N/A</c:v>
                </c:pt>
                <c:pt idx="268">
                  <c:v>363.81731612899159</c:v>
                </c:pt>
                <c:pt idx="269">
                  <c:v>#N/A</c:v>
                </c:pt>
                <c:pt idx="270">
                  <c:v>#N/A</c:v>
                </c:pt>
                <c:pt idx="271">
                  <c:v>#N/A</c:v>
                </c:pt>
                <c:pt idx="272">
                  <c:v>#N/A</c:v>
                </c:pt>
                <c:pt idx="273">
                  <c:v>#N/A</c:v>
                </c:pt>
                <c:pt idx="274">
                  <c:v>#N/A</c:v>
                </c:pt>
                <c:pt idx="275">
                  <c:v>#N/A</c:v>
                </c:pt>
                <c:pt idx="276">
                  <c:v>#N/A</c:v>
                </c:pt>
                <c:pt idx="277">
                  <c:v>#N/A</c:v>
                </c:pt>
                <c:pt idx="278">
                  <c:v>385.39255675312518</c:v>
                </c:pt>
                <c:pt idx="279">
                  <c:v>#N/A</c:v>
                </c:pt>
                <c:pt idx="280">
                  <c:v>#N/A</c:v>
                </c:pt>
                <c:pt idx="281">
                  <c:v>#N/A</c:v>
                </c:pt>
                <c:pt idx="282">
                  <c:v>#N/A</c:v>
                </c:pt>
                <c:pt idx="283">
                  <c:v>#N/A</c:v>
                </c:pt>
                <c:pt idx="284">
                  <c:v>#N/A</c:v>
                </c:pt>
                <c:pt idx="285">
                  <c:v>#N/A</c:v>
                </c:pt>
                <c:pt idx="286">
                  <c:v>#N/A</c:v>
                </c:pt>
                <c:pt idx="287">
                  <c:v>#N/A</c:v>
                </c:pt>
                <c:pt idx="288">
                  <c:v>406.40206029167427</c:v>
                </c:pt>
                <c:pt idx="289">
                  <c:v>#N/A</c:v>
                </c:pt>
                <c:pt idx="290">
                  <c:v>#N/A</c:v>
                </c:pt>
                <c:pt idx="291">
                  <c:v>#N/A</c:v>
                </c:pt>
                <c:pt idx="292">
                  <c:v>#N/A</c:v>
                </c:pt>
                <c:pt idx="293">
                  <c:v>#N/A</c:v>
                </c:pt>
                <c:pt idx="294">
                  <c:v>#N/A</c:v>
                </c:pt>
                <c:pt idx="295">
                  <c:v>#N/A</c:v>
                </c:pt>
                <c:pt idx="296">
                  <c:v>#N/A</c:v>
                </c:pt>
                <c:pt idx="297">
                  <c:v>#N/A</c:v>
                </c:pt>
                <c:pt idx="298">
                  <c:v>426.98173902183544</c:v>
                </c:pt>
                <c:pt idx="299">
                  <c:v>#N/A</c:v>
                </c:pt>
                <c:pt idx="300">
                  <c:v>#N/A</c:v>
                </c:pt>
                <c:pt idx="301">
                  <c:v>#N/A</c:v>
                </c:pt>
                <c:pt idx="302">
                  <c:v>#N/A</c:v>
                </c:pt>
                <c:pt idx="303">
                  <c:v>#N/A</c:v>
                </c:pt>
                <c:pt idx="304">
                  <c:v>#N/A</c:v>
                </c:pt>
                <c:pt idx="305">
                  <c:v>#N/A</c:v>
                </c:pt>
                <c:pt idx="306">
                  <c:v>#N/A</c:v>
                </c:pt>
                <c:pt idx="307">
                  <c:v>#N/A</c:v>
                </c:pt>
                <c:pt idx="308">
                  <c:v>447.21062025251865</c:v>
                </c:pt>
                <c:pt idx="309">
                  <c:v>#N/A</c:v>
                </c:pt>
                <c:pt idx="310">
                  <c:v>#N/A</c:v>
                </c:pt>
                <c:pt idx="311">
                  <c:v>#N/A</c:v>
                </c:pt>
                <c:pt idx="312">
                  <c:v>#N/A</c:v>
                </c:pt>
                <c:pt idx="313">
                  <c:v>#N/A</c:v>
                </c:pt>
                <c:pt idx="314">
                  <c:v>#N/A</c:v>
                </c:pt>
                <c:pt idx="315">
                  <c:v>#N/A</c:v>
                </c:pt>
                <c:pt idx="316">
                  <c:v>#N/A</c:v>
                </c:pt>
                <c:pt idx="317">
                  <c:v>#N/A</c:v>
                </c:pt>
                <c:pt idx="318">
                  <c:v>467.09613004112248</c:v>
                </c:pt>
                <c:pt idx="319">
                  <c:v>#N/A</c:v>
                </c:pt>
                <c:pt idx="320">
                  <c:v>#N/A</c:v>
                </c:pt>
                <c:pt idx="321">
                  <c:v>#N/A</c:v>
                </c:pt>
                <c:pt idx="322">
                  <c:v>#N/A</c:v>
                </c:pt>
                <c:pt idx="323">
                  <c:v>#N/A</c:v>
                </c:pt>
                <c:pt idx="324">
                  <c:v>#N/A</c:v>
                </c:pt>
                <c:pt idx="325">
                  <c:v>#N/A</c:v>
                </c:pt>
                <c:pt idx="326">
                  <c:v>#N/A</c:v>
                </c:pt>
                <c:pt idx="327">
                  <c:v>#N/A</c:v>
                </c:pt>
                <c:pt idx="328">
                  <c:v>486.5827010684971</c:v>
                </c:pt>
                <c:pt idx="329">
                  <c:v>#N/A</c:v>
                </c:pt>
                <c:pt idx="330">
                  <c:v>#N/A</c:v>
                </c:pt>
                <c:pt idx="331">
                  <c:v>#N/A</c:v>
                </c:pt>
                <c:pt idx="332">
                  <c:v>#N/A</c:v>
                </c:pt>
                <c:pt idx="333">
                  <c:v>#N/A</c:v>
                </c:pt>
                <c:pt idx="334">
                  <c:v>#N/A</c:v>
                </c:pt>
                <c:pt idx="335">
                  <c:v>#N/A</c:v>
                </c:pt>
                <c:pt idx="336">
                  <c:v>#N/A</c:v>
                </c:pt>
                <c:pt idx="337">
                  <c:v>#N/A</c:v>
                </c:pt>
                <c:pt idx="338">
                  <c:v>505.58158615989953</c:v>
                </c:pt>
                <c:pt idx="339">
                  <c:v>#N/A</c:v>
                </c:pt>
                <c:pt idx="340">
                  <c:v>#N/A</c:v>
                </c:pt>
                <c:pt idx="341">
                  <c:v>#N/A</c:v>
                </c:pt>
                <c:pt idx="342">
                  <c:v>#N/A</c:v>
                </c:pt>
                <c:pt idx="343">
                  <c:v>#N/A</c:v>
                </c:pt>
                <c:pt idx="344">
                  <c:v>#N/A</c:v>
                </c:pt>
                <c:pt idx="345">
                  <c:v>#N/A</c:v>
                </c:pt>
                <c:pt idx="346">
                  <c:v>#N/A</c:v>
                </c:pt>
                <c:pt idx="347">
                  <c:v>#N/A</c:v>
                </c:pt>
                <c:pt idx="348">
                  <c:v>523.99584535054294</c:v>
                </c:pt>
                <c:pt idx="349">
                  <c:v>#N/A</c:v>
                </c:pt>
                <c:pt idx="350">
                  <c:v>#N/A</c:v>
                </c:pt>
                <c:pt idx="351">
                  <c:v>#N/A</c:v>
                </c:pt>
                <c:pt idx="352">
                  <c:v>#N/A</c:v>
                </c:pt>
                <c:pt idx="353">
                  <c:v>#N/A</c:v>
                </c:pt>
                <c:pt idx="354">
                  <c:v>#N/A</c:v>
                </c:pt>
                <c:pt idx="355">
                  <c:v>#N/A</c:v>
                </c:pt>
                <c:pt idx="356">
                  <c:v>#N/A</c:v>
                </c:pt>
                <c:pt idx="357">
                  <c:v>#N/A</c:v>
                </c:pt>
                <c:pt idx="358">
                  <c:v>541.73418796984538</c:v>
                </c:pt>
                <c:pt idx="359">
                  <c:v>#N/A</c:v>
                </c:pt>
                <c:pt idx="360">
                  <c:v>#N/A</c:v>
                </c:pt>
                <c:pt idx="361">
                  <c:v>#N/A</c:v>
                </c:pt>
                <c:pt idx="362">
                  <c:v>#N/A</c:v>
                </c:pt>
                <c:pt idx="363">
                  <c:v>#N/A</c:v>
                </c:pt>
                <c:pt idx="364">
                  <c:v>#N/A</c:v>
                </c:pt>
                <c:pt idx="365">
                  <c:v>#N/A</c:v>
                </c:pt>
                <c:pt idx="366">
                  <c:v>#N/A</c:v>
                </c:pt>
                <c:pt idx="367">
                  <c:v>#N/A</c:v>
                </c:pt>
                <c:pt idx="368">
                  <c:v>558.71802918749847</c:v>
                </c:pt>
                <c:pt idx="369">
                  <c:v>#N/A</c:v>
                </c:pt>
                <c:pt idx="370">
                  <c:v>#N/A</c:v>
                </c:pt>
                <c:pt idx="371">
                  <c:v>#N/A</c:v>
                </c:pt>
                <c:pt idx="372">
                  <c:v>#N/A</c:v>
                </c:pt>
                <c:pt idx="373">
                  <c:v>#N/A</c:v>
                </c:pt>
                <c:pt idx="374">
                  <c:v>#N/A</c:v>
                </c:pt>
                <c:pt idx="375">
                  <c:v>#N/A</c:v>
                </c:pt>
                <c:pt idx="376">
                  <c:v>#N/A</c:v>
                </c:pt>
                <c:pt idx="377">
                  <c:v>#N/A</c:v>
                </c:pt>
                <c:pt idx="378">
                  <c:v>574.8849042832785</c:v>
                </c:pt>
                <c:pt idx="379">
                  <c:v>#N/A</c:v>
                </c:pt>
                <c:pt idx="380">
                  <c:v>#N/A</c:v>
                </c:pt>
                <c:pt idx="381">
                  <c:v>#N/A</c:v>
                </c:pt>
                <c:pt idx="382">
                  <c:v>#N/A</c:v>
                </c:pt>
                <c:pt idx="383">
                  <c:v>#N/A</c:v>
                </c:pt>
                <c:pt idx="384">
                  <c:v>#N/A</c:v>
                </c:pt>
                <c:pt idx="385">
                  <c:v>#N/A</c:v>
                </c:pt>
                <c:pt idx="386">
                  <c:v>#N/A</c:v>
                </c:pt>
                <c:pt idx="387">
                  <c:v>#N/A</c:v>
                </c:pt>
                <c:pt idx="388">
                  <c:v>590.18969777283542</c:v>
                </c:pt>
                <c:pt idx="389">
                  <c:v>#N/A</c:v>
                </c:pt>
                <c:pt idx="390">
                  <c:v>#N/A</c:v>
                </c:pt>
                <c:pt idx="391">
                  <c:v>#N/A</c:v>
                </c:pt>
                <c:pt idx="392">
                  <c:v>#N/A</c:v>
                </c:pt>
                <c:pt idx="393">
                  <c:v>#N/A</c:v>
                </c:pt>
                <c:pt idx="394">
                  <c:v>#N/A</c:v>
                </c:pt>
                <c:pt idx="395">
                  <c:v>#N/A</c:v>
                </c:pt>
                <c:pt idx="396">
                  <c:v>#N/A</c:v>
                </c:pt>
                <c:pt idx="397">
                  <c:v>#N/A</c:v>
                </c:pt>
                <c:pt idx="398">
                  <c:v>604.60443121409514</c:v>
                </c:pt>
                <c:pt idx="399">
                  <c:v>#N/A</c:v>
                </c:pt>
                <c:pt idx="400">
                  <c:v>#N/A</c:v>
                </c:pt>
                <c:pt idx="401">
                  <c:v>#N/A</c:v>
                </c:pt>
                <c:pt idx="402">
                  <c:v>#N/A</c:v>
                </c:pt>
                <c:pt idx="403">
                  <c:v>#N/A</c:v>
                </c:pt>
                <c:pt idx="404">
                  <c:v>#N/A</c:v>
                </c:pt>
                <c:pt idx="405">
                  <c:v>#N/A</c:v>
                </c:pt>
                <c:pt idx="406">
                  <c:v>#N/A</c:v>
                </c:pt>
                <c:pt idx="407">
                  <c:v>#N/A</c:v>
                </c:pt>
                <c:pt idx="408">
                  <c:v>618.11708502444117</c:v>
                </c:pt>
                <c:pt idx="409">
                  <c:v>#N/A</c:v>
                </c:pt>
                <c:pt idx="410">
                  <c:v>#N/A</c:v>
                </c:pt>
                <c:pt idx="411">
                  <c:v>#N/A</c:v>
                </c:pt>
                <c:pt idx="412">
                  <c:v>#N/A</c:v>
                </c:pt>
                <c:pt idx="413">
                  <c:v>#N/A</c:v>
                </c:pt>
                <c:pt idx="414">
                  <c:v>#N/A</c:v>
                </c:pt>
                <c:pt idx="415">
                  <c:v>#N/A</c:v>
                </c:pt>
                <c:pt idx="416">
                  <c:v>#N/A</c:v>
                </c:pt>
                <c:pt idx="417">
                  <c:v>#N/A</c:v>
                </c:pt>
                <c:pt idx="418">
                  <c:v>630.72981122120052</c:v>
                </c:pt>
                <c:pt idx="419">
                  <c:v>#N/A</c:v>
                </c:pt>
                <c:pt idx="420">
                  <c:v>#N/A</c:v>
                </c:pt>
                <c:pt idx="421">
                  <c:v>#N/A</c:v>
                </c:pt>
                <c:pt idx="422">
                  <c:v>#N/A</c:v>
                </c:pt>
                <c:pt idx="423">
                  <c:v>#N/A</c:v>
                </c:pt>
                <c:pt idx="424">
                  <c:v>#N/A</c:v>
                </c:pt>
                <c:pt idx="425">
                  <c:v>#N/A</c:v>
                </c:pt>
                <c:pt idx="426">
                  <c:v>#N/A</c:v>
                </c:pt>
                <c:pt idx="427">
                  <c:v>#N/A</c:v>
                </c:pt>
                <c:pt idx="428">
                  <c:v>642.45681958758337</c:v>
                </c:pt>
                <c:pt idx="429">
                  <c:v>#N/A</c:v>
                </c:pt>
                <c:pt idx="430">
                  <c:v>#N/A</c:v>
                </c:pt>
                <c:pt idx="431">
                  <c:v>#N/A</c:v>
                </c:pt>
                <c:pt idx="432">
                  <c:v>#N/A</c:v>
                </c:pt>
                <c:pt idx="433">
                  <c:v>#N/A</c:v>
                </c:pt>
                <c:pt idx="434">
                  <c:v>#N/A</c:v>
                </c:pt>
                <c:pt idx="435">
                  <c:v>#N/A</c:v>
                </c:pt>
                <c:pt idx="436">
                  <c:v>#N/A</c:v>
                </c:pt>
                <c:pt idx="437">
                  <c:v>#N/A</c:v>
                </c:pt>
                <c:pt idx="438">
                  <c:v>653.32215684421249</c:v>
                </c:pt>
                <c:pt idx="439">
                  <c:v>#N/A</c:v>
                </c:pt>
                <c:pt idx="440">
                  <c:v>#N/A</c:v>
                </c:pt>
                <c:pt idx="441">
                  <c:v>#N/A</c:v>
                </c:pt>
                <c:pt idx="442">
                  <c:v>#N/A</c:v>
                </c:pt>
                <c:pt idx="443">
                  <c:v>#N/A</c:v>
                </c:pt>
                <c:pt idx="444">
                  <c:v>#N/A</c:v>
                </c:pt>
                <c:pt idx="445">
                  <c:v>#N/A</c:v>
                </c:pt>
                <c:pt idx="446">
                  <c:v>#N/A</c:v>
                </c:pt>
                <c:pt idx="447">
                  <c:v>#N/A</c:v>
                </c:pt>
                <c:pt idx="448">
                  <c:v>663.35754018079535</c:v>
                </c:pt>
                <c:pt idx="449">
                  <c:v>#N/A</c:v>
                </c:pt>
                <c:pt idx="450">
                  <c:v>#N/A</c:v>
                </c:pt>
                <c:pt idx="451">
                  <c:v>#N/A</c:v>
                </c:pt>
                <c:pt idx="452">
                  <c:v>#N/A</c:v>
                </c:pt>
                <c:pt idx="453">
                  <c:v>#N/A</c:v>
                </c:pt>
                <c:pt idx="454">
                  <c:v>#N/A</c:v>
                </c:pt>
                <c:pt idx="455">
                  <c:v>#N/A</c:v>
                </c:pt>
                <c:pt idx="456">
                  <c:v>#N/A</c:v>
                </c:pt>
                <c:pt idx="457">
                  <c:v>#N/A</c:v>
                </c:pt>
                <c:pt idx="458">
                  <c:v>672.60035402754784</c:v>
                </c:pt>
                <c:pt idx="459">
                  <c:v>#N/A</c:v>
                </c:pt>
                <c:pt idx="460">
                  <c:v>#N/A</c:v>
                </c:pt>
                <c:pt idx="461">
                  <c:v>#N/A</c:v>
                </c:pt>
                <c:pt idx="462">
                  <c:v>#N/A</c:v>
                </c:pt>
                <c:pt idx="463">
                  <c:v>#N/A</c:v>
                </c:pt>
                <c:pt idx="464">
                  <c:v>#N/A</c:v>
                </c:pt>
                <c:pt idx="465">
                  <c:v>#N/A</c:v>
                </c:pt>
                <c:pt idx="466">
                  <c:v>#N/A</c:v>
                </c:pt>
                <c:pt idx="467">
                  <c:v>#N/A</c:v>
                </c:pt>
                <c:pt idx="468">
                  <c:v>681.09187450695629</c:v>
                </c:pt>
                <c:pt idx="469">
                  <c:v>#N/A</c:v>
                </c:pt>
                <c:pt idx="470">
                  <c:v>#N/A</c:v>
                </c:pt>
                <c:pt idx="471">
                  <c:v>#N/A</c:v>
                </c:pt>
                <c:pt idx="472">
                  <c:v>#N/A</c:v>
                </c:pt>
                <c:pt idx="473">
                  <c:v>#N/A</c:v>
                </c:pt>
                <c:pt idx="474">
                  <c:v>#N/A</c:v>
                </c:pt>
                <c:pt idx="475">
                  <c:v>#N/A</c:v>
                </c:pt>
                <c:pt idx="476">
                  <c:v>#N/A</c:v>
                </c:pt>
                <c:pt idx="477">
                  <c:v>#N/A</c:v>
                </c:pt>
                <c:pt idx="478">
                  <c:v>688.875750944983</c:v>
                </c:pt>
                <c:pt idx="479">
                  <c:v>#N/A</c:v>
                </c:pt>
                <c:pt idx="480">
                  <c:v>#N/A</c:v>
                </c:pt>
                <c:pt idx="481">
                  <c:v>#N/A</c:v>
                </c:pt>
                <c:pt idx="482">
                  <c:v>#N/A</c:v>
                </c:pt>
                <c:pt idx="483">
                  <c:v>#N/A</c:v>
                </c:pt>
                <c:pt idx="484">
                  <c:v>#N/A</c:v>
                </c:pt>
                <c:pt idx="485">
                  <c:v>#N/A</c:v>
                </c:pt>
                <c:pt idx="486">
                  <c:v>#N/A</c:v>
                </c:pt>
                <c:pt idx="487">
                  <c:v>#N/A</c:v>
                </c:pt>
                <c:pt idx="488">
                  <c:v>695.99674816941945</c:v>
                </c:pt>
                <c:pt idx="489">
                  <c:v>#N/A</c:v>
                </c:pt>
                <c:pt idx="490">
                  <c:v>#N/A</c:v>
                </c:pt>
                <c:pt idx="491">
                  <c:v>#N/A</c:v>
                </c:pt>
                <c:pt idx="492">
                  <c:v>#N/A</c:v>
                </c:pt>
                <c:pt idx="493">
                  <c:v>#N/A</c:v>
                </c:pt>
                <c:pt idx="494">
                  <c:v>#N/A</c:v>
                </c:pt>
                <c:pt idx="495">
                  <c:v>#N/A</c:v>
                </c:pt>
                <c:pt idx="496">
                  <c:v>#N/A</c:v>
                </c:pt>
                <c:pt idx="497">
                  <c:v>#N/A</c:v>
                </c:pt>
                <c:pt idx="498">
                  <c:v>702.49973611183293</c:v>
                </c:pt>
                <c:pt idx="499">
                  <c:v>#N/A</c:v>
                </c:pt>
                <c:pt idx="500">
                  <c:v>#N/A</c:v>
                </c:pt>
                <c:pt idx="501">
                  <c:v>#N/A</c:v>
                </c:pt>
                <c:pt idx="502">
                  <c:v>#N/A</c:v>
                </c:pt>
                <c:pt idx="503">
                  <c:v>#N/A</c:v>
                </c:pt>
                <c:pt idx="504">
                  <c:v>#N/A</c:v>
                </c:pt>
                <c:pt idx="505">
                  <c:v>#N/A</c:v>
                </c:pt>
                <c:pt idx="506">
                  <c:v>#N/A</c:v>
                </c:pt>
                <c:pt idx="507">
                  <c:v>#N/A</c:v>
                </c:pt>
                <c:pt idx="508">
                  <c:v>708.42890294614904</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497.16938386972515</c:v>
                </c:pt>
                <c:pt idx="1">
                  <c:v>498.89571863685381</c:v>
                </c:pt>
                <c:pt idx="2">
                  <c:v>500.62286602706746</c:v>
                </c:pt>
                <c:pt idx="3">
                  <c:v>502.35397500412506</c:v>
                </c:pt>
                <c:pt idx="4">
                  <c:v>504.0896126384792</c:v>
                </c:pt>
                <c:pt idx="5">
                  <c:v>505.82922692069394</c:v>
                </c:pt>
                <c:pt idx="6">
                  <c:v>507.57260713217528</c:v>
                </c:pt>
                <c:pt idx="7">
                  <c:v>509.31971309683456</c:v>
                </c:pt>
                <c:pt idx="8">
                  <c:v>511.0705047042224</c:v>
                </c:pt>
                <c:pt idx="9">
                  <c:v>512.82494191034959</c:v>
                </c:pt>
                <c:pt idx="10">
                  <c:v>514.58298473849538</c:v>
                </c:pt>
                <c:pt idx="11">
                  <c:v>516.34459328000275</c:v>
                </c:pt>
                <c:pt idx="12">
                  <c:v>518.109727695061</c:v>
                </c:pt>
                <c:pt idx="13">
                  <c:v>519.87834821347565</c:v>
                </c:pt>
                <c:pt idx="14">
                  <c:v>521.65041513542531</c:v>
                </c:pt>
                <c:pt idx="15">
                  <c:v>523.4258888322064</c:v>
                </c:pt>
                <c:pt idx="16">
                  <c:v>525.20472974696497</c:v>
                </c:pt>
                <c:pt idx="17">
                  <c:v>526.98689839541555</c:v>
                </c:pt>
                <c:pt idx="18">
                  <c:v>528.77235536654837</c:v>
                </c:pt>
                <c:pt idx="19">
                  <c:v>530.56106132332297</c:v>
                </c:pt>
                <c:pt idx="20">
                  <c:v>532.35297700335036</c:v>
                </c:pt>
                <c:pt idx="21">
                  <c:v>534.14806321956223</c:v>
                </c:pt>
                <c:pt idx="22">
                  <c:v>535.94628086086789</c:v>
                </c:pt>
                <c:pt idx="23">
                  <c:v>537.74759089279883</c:v>
                </c:pt>
                <c:pt idx="24">
                  <c:v>539.5519543581413</c:v>
                </c:pt>
                <c:pt idx="25">
                  <c:v>541.35933237755637</c:v>
                </c:pt>
                <c:pt idx="26">
                  <c:v>543.16968615018823</c:v>
                </c:pt>
                <c:pt idx="27">
                  <c:v>544.98297695425981</c:v>
                </c:pt>
                <c:pt idx="28">
                  <c:v>546.79916614765705</c:v>
                </c:pt>
                <c:pt idx="29">
                  <c:v>548.61821516850068</c:v>
                </c:pt>
                <c:pt idx="30">
                  <c:v>550.44008553570643</c:v>
                </c:pt>
                <c:pt idx="31">
                  <c:v>552.26473884953316</c:v>
                </c:pt>
                <c:pt idx="32">
                  <c:v>554.09213679211916</c:v>
                </c:pt>
                <c:pt idx="33">
                  <c:v>555.92224112800693</c:v>
                </c:pt>
                <c:pt idx="34">
                  <c:v>557.75501370465633</c:v>
                </c:pt>
                <c:pt idx="35">
                  <c:v>559.59041645294565</c:v>
                </c:pt>
                <c:pt idx="36">
                  <c:v>561.42841138766175</c:v>
                </c:pt>
                <c:pt idx="37">
                  <c:v>563.26896060797856</c:v>
                </c:pt>
                <c:pt idx="38">
                  <c:v>565.11202629792365</c:v>
                </c:pt>
                <c:pt idx="39">
                  <c:v>566.95757072683443</c:v>
                </c:pt>
                <c:pt idx="40">
                  <c:v>568.80555624980207</c:v>
                </c:pt>
                <c:pt idx="41">
                  <c:v>570.65594530810483</c:v>
                </c:pt>
                <c:pt idx="42">
                  <c:v>572.50870042963038</c:v>
                </c:pt>
                <c:pt idx="43">
                  <c:v>574.36378422928669</c:v>
                </c:pt>
                <c:pt idx="44">
                  <c:v>576.22115940940182</c:v>
                </c:pt>
                <c:pt idx="45">
                  <c:v>578.08078876011325</c:v>
                </c:pt>
                <c:pt idx="46">
                  <c:v>579.94263515974637</c:v>
                </c:pt>
                <c:pt idx="47">
                  <c:v>581.80666157518158</c:v>
                </c:pt>
                <c:pt idx="48">
                  <c:v>583.67283106221134</c:v>
                </c:pt>
                <c:pt idx="49">
                  <c:v>585.54110676588652</c:v>
                </c:pt>
                <c:pt idx="50">
                  <c:v>587.41145192085196</c:v>
                </c:pt>
                <c:pt idx="51">
                  <c:v>589.28382985167161</c:v>
                </c:pt>
                <c:pt idx="52">
                  <c:v>591.15820397314349</c:v>
                </c:pt>
                <c:pt idx="53">
                  <c:v>593.03453779060419</c:v>
                </c:pt>
                <c:pt idx="54">
                  <c:v>594.91279490022328</c:v>
                </c:pt>
                <c:pt idx="55">
                  <c:v>596.79293898928722</c:v>
                </c:pt>
                <c:pt idx="56">
                  <c:v>598.67493383647388</c:v>
                </c:pt>
                <c:pt idx="57">
                  <c:v>600.55874331211612</c:v>
                </c:pt>
                <c:pt idx="58">
                  <c:v>602.44433137845647</c:v>
                </c:pt>
                <c:pt idx="59">
                  <c:v>604.33166208989121</c:v>
                </c:pt>
                <c:pt idx="60">
                  <c:v>606.22069959320504</c:v>
                </c:pt>
                <c:pt idx="61">
                  <c:v>608.11140812779593</c:v>
                </c:pt>
                <c:pt idx="62">
                  <c:v>610.00375202589078</c:v>
                </c:pt>
                <c:pt idx="63">
                  <c:v>611.89768087486266</c:v>
                </c:pt>
                <c:pt idx="64">
                  <c:v>613.79311471546873</c:v>
                </c:pt>
                <c:pt idx="65">
                  <c:v>615.68995896065621</c:v>
                </c:pt>
                <c:pt idx="66">
                  <c:v>617.58811927899751</c:v>
                </c:pt>
                <c:pt idx="67">
                  <c:v>619.48748799290047</c:v>
                </c:pt>
                <c:pt idx="68">
                  <c:v>621.38793051129596</c:v>
                </c:pt>
                <c:pt idx="69">
                  <c:v>623.28927481555581</c:v>
                </c:pt>
                <c:pt idx="70">
                  <c:v>625.19130097568188</c:v>
                </c:pt>
                <c:pt idx="71">
                  <c:v>627.09376548942146</c:v>
                </c:pt>
                <c:pt idx="72">
                  <c:v>628.99642555996002</c:v>
                </c:pt>
                <c:pt idx="73">
                  <c:v>630.89903910368525</c:v>
                </c:pt>
                <c:pt idx="74">
                  <c:v>632.80136475756046</c:v>
                </c:pt>
                <c:pt idx="75">
                  <c:v>634.70316188611059</c:v>
                </c:pt>
                <c:pt idx="76">
                  <c:v>636.60419058802518</c:v>
                </c:pt>
                <c:pt idx="77">
                  <c:v>638.50421170238076</c:v>
                </c:pt>
                <c:pt idx="78">
                  <c:v>640.40298681448792</c:v>
                </c:pt>
                <c:pt idx="79">
                  <c:v>642.30027826136597</c:v>
                </c:pt>
                <c:pt idx="80">
                  <c:v>644.1958491368498</c:v>
                </c:pt>
                <c:pt idx="81">
                  <c:v>646.08949207993192</c:v>
                </c:pt>
                <c:pt idx="82">
                  <c:v>647.98105796915502</c:v>
                </c:pt>
                <c:pt idx="83">
                  <c:v>649.87042694992761</c:v>
                </c:pt>
                <c:pt idx="84">
                  <c:v>651.75747955317843</c:v>
                </c:pt>
                <c:pt idx="85">
                  <c:v>653.64209669501372</c:v>
                </c:pt>
                <c:pt idx="86">
                  <c:v>655.52415967629292</c:v>
                </c:pt>
                <c:pt idx="87">
                  <c:v>657.40355018212347</c:v>
                </c:pt>
                <c:pt idx="88">
                  <c:v>659.28015028127641</c:v>
                </c:pt>
                <c:pt idx="89">
                  <c:v>661.1538515192068</c:v>
                </c:pt>
                <c:pt idx="90">
                  <c:v>663.02456398013078</c:v>
                </c:pt>
                <c:pt idx="91">
                  <c:v>664.89220713015084</c:v>
                </c:pt>
                <c:pt idx="92">
                  <c:v>666.7567006911047</c:v>
                </c:pt>
                <c:pt idx="93">
                  <c:v>668.61796691311338</c:v>
                </c:pt>
                <c:pt idx="94">
                  <c:v>670.47593283928597</c:v>
                </c:pt>
                <c:pt idx="95">
                  <c:v>672.33052801527538</c:v>
                </c:pt>
                <c:pt idx="96">
                  <c:v>674.18168220664199</c:v>
                </c:pt>
                <c:pt idx="97">
                  <c:v>676.02933449238003</c:v>
                </c:pt>
                <c:pt idx="98">
                  <c:v>677.87344232687974</c:v>
                </c:pt>
                <c:pt idx="99">
                  <c:v>679.71397238116106</c:v>
                </c:pt>
                <c:pt idx="100">
                  <c:v>681.5508914158836</c:v>
                </c:pt>
                <c:pt idx="101">
                  <c:v>683.38416628063533</c:v>
                </c:pt>
                <c:pt idx="102">
                  <c:v>685.21376391321951</c:v>
                </c:pt>
                <c:pt idx="103">
                  <c:v>687.03965133894042</c:v>
                </c:pt>
                <c:pt idx="104">
                  <c:v>688.86179566988733</c:v>
                </c:pt>
                <c:pt idx="105">
                  <c:v>690.68016410421751</c:v>
                </c:pt>
                <c:pt idx="106">
                  <c:v>692.49472392543805</c:v>
                </c:pt>
                <c:pt idx="107">
                  <c:v>694.30544250168589</c:v>
                </c:pt>
                <c:pt idx="108">
                  <c:v>696.11228728500714</c:v>
                </c:pt>
                <c:pt idx="109">
                  <c:v>697.91523717679945</c:v>
                </c:pt>
                <c:pt idx="110">
                  <c:v>699.7142938537495</c:v>
                </c:pt>
                <c:pt idx="111">
                  <c:v>701.50947032298427</c:v>
                </c:pt>
                <c:pt idx="112">
                  <c:v>703.30077951737087</c:v>
                </c:pt>
                <c:pt idx="113">
                  <c:v>705.0882342960798</c:v>
                </c:pt>
                <c:pt idx="114">
                  <c:v>706.87184744514286</c:v>
                </c:pt>
                <c:pt idx="115">
                  <c:v>708.65163167800574</c:v>
                </c:pt>
                <c:pt idx="116">
                  <c:v>710.42759963607534</c:v>
                </c:pt>
                <c:pt idx="117">
                  <c:v>712.19976388926204</c:v>
                </c:pt>
                <c:pt idx="118">
                  <c:v>713.96813693651632</c:v>
                </c:pt>
                <c:pt idx="119">
                  <c:v>715.73273120636122</c:v>
                </c:pt>
                <c:pt idx="120">
                  <c:v>717.49355905741902</c:v>
                </c:pt>
                <c:pt idx="121">
                  <c:v>719.2506327789331</c:v>
                </c:pt>
                <c:pt idx="122">
                  <c:v>721.00396459128535</c:v>
                </c:pt>
                <c:pt idx="123">
                  <c:v>722.75356664650815</c:v>
                </c:pt>
                <c:pt idx="124">
                  <c:v>724.49945102879201</c:v>
                </c:pt>
                <c:pt idx="125">
                  <c:v>726.24162975498814</c:v>
                </c:pt>
                <c:pt idx="126">
                  <c:v>727.98011477510659</c:v>
                </c:pt>
                <c:pt idx="127">
                  <c:v>729.71491797280953</c:v>
                </c:pt>
                <c:pt idx="128">
                  <c:v>731.44605116590037</c:v>
                </c:pt>
                <c:pt idx="129">
                  <c:v>733.1735261068078</c:v>
                </c:pt>
                <c:pt idx="130">
                  <c:v>734.89735448306567</c:v>
                </c:pt>
                <c:pt idx="131">
                  <c:v>736.61754791778844</c:v>
                </c:pt>
                <c:pt idx="132">
                  <c:v>738.3341179701423</c:v>
                </c:pt>
                <c:pt idx="133">
                  <c:v>740.04707613581149</c:v>
                </c:pt>
                <c:pt idx="134">
                  <c:v>741.75643384746127</c:v>
                </c:pt>
                <c:pt idx="135">
                  <c:v>743.46220247519568</c:v>
                </c:pt>
                <c:pt idx="136">
                  <c:v>745.16439332701157</c:v>
                </c:pt>
                <c:pt idx="137">
                  <c:v>746.86301764924883</c:v>
                </c:pt>
                <c:pt idx="138">
                  <c:v>748.55808662703555</c:v>
                </c:pt>
                <c:pt idx="139">
                  <c:v>750.24961138473031</c:v>
                </c:pt>
                <c:pt idx="140">
                  <c:v>751.93760298635937</c:v>
                </c:pt>
                <c:pt idx="141">
                  <c:v>753.62207243605087</c:v>
                </c:pt>
                <c:pt idx="142">
                  <c:v>755.30303067846421</c:v>
                </c:pt>
                <c:pt idx="143">
                  <c:v>756.9804885992163</c:v>
                </c:pt>
                <c:pt idx="144">
                  <c:v>758.6544570253036</c:v>
                </c:pt>
                <c:pt idx="145">
                  <c:v>760.32494672552025</c:v>
                </c:pt>
                <c:pt idx="146">
                  <c:v>761.9919684108728</c:v>
                </c:pt>
                <c:pt idx="147">
                  <c:v>763.65553273499086</c:v>
                </c:pt>
                <c:pt idx="148">
                  <c:v>765.31565029453463</c:v>
                </c:pt>
                <c:pt idx="149">
                  <c:v>766.9723316295981</c:v>
                </c:pt>
                <c:pt idx="150">
                  <c:v>768.62558722410893</c:v>
                </c:pt>
                <c:pt idx="151">
                  <c:v>770.27542750622513</c:v>
                </c:pt>
                <c:pt idx="152">
                  <c:v>771.92186284872776</c:v>
                </c:pt>
                <c:pt idx="153">
                  <c:v>773.56490356941026</c:v>
                </c:pt>
                <c:pt idx="154">
                  <c:v>775.20455993146459</c:v>
                </c:pt>
                <c:pt idx="155">
                  <c:v>776.84084214386348</c:v>
                </c:pt>
                <c:pt idx="156">
                  <c:v>778.47376036173966</c:v>
                </c:pt>
                <c:pt idx="157">
                  <c:v>780.10332468676199</c:v>
                </c:pt>
                <c:pt idx="158">
                  <c:v>781.72954516750758</c:v>
                </c:pt>
                <c:pt idx="159">
                  <c:v>783.35243179983115</c:v>
                </c:pt>
                <c:pt idx="160">
                  <c:v>784.97199452723135</c:v>
                </c:pt>
                <c:pt idx="161">
                  <c:v>786.58824324121304</c:v>
                </c:pt>
                <c:pt idx="162">
                  <c:v>788.2011877816476</c:v>
                </c:pt>
                <c:pt idx="163">
                  <c:v>789.81083793712889</c:v>
                </c:pt>
                <c:pt idx="164">
                  <c:v>791.417203445327</c:v>
                </c:pt>
                <c:pt idx="165">
                  <c:v>793.02029399333867</c:v>
                </c:pt>
                <c:pt idx="166">
                  <c:v>794.62011921803446</c:v>
                </c:pt>
                <c:pt idx="167">
                  <c:v>796.21668870640315</c:v>
                </c:pt>
                <c:pt idx="168">
                  <c:v>797.81001199589298</c:v>
                </c:pt>
                <c:pt idx="169">
                  <c:v>799.40009857475036</c:v>
                </c:pt>
                <c:pt idx="170">
                  <c:v>800.98695788235523</c:v>
                </c:pt>
                <c:pt idx="171">
                  <c:v>802.57059930955359</c:v>
                </c:pt>
                <c:pt idx="172">
                  <c:v>804.15103219898754</c:v>
                </c:pt>
                <c:pt idx="173">
                  <c:v>805.7282658454219</c:v>
                </c:pt>
                <c:pt idx="174">
                  <c:v>807.3023094960688</c:v>
                </c:pt>
                <c:pt idx="175">
                  <c:v>808.8731723509087</c:v>
                </c:pt>
                <c:pt idx="176">
                  <c:v>810.44086356300943</c:v>
                </c:pt>
                <c:pt idx="177">
                  <c:v>812.00539223884175</c:v>
                </c:pt>
                <c:pt idx="178">
                  <c:v>813.56676743859316</c:v>
                </c:pt>
                <c:pt idx="179">
                  <c:v>815.12499817647802</c:v>
                </c:pt>
                <c:pt idx="180">
                  <c:v>816.68009342104597</c:v>
                </c:pt>
                <c:pt idx="181">
                  <c:v>818.23206209548709</c:v>
                </c:pt>
                <c:pt idx="182">
                  <c:v>819.78091307793477</c:v>
                </c:pt>
                <c:pt idx="183">
                  <c:v>821.32665520176624</c:v>
                </c:pt>
                <c:pt idx="184">
                  <c:v>822.86929725590016</c:v>
                </c:pt>
                <c:pt idx="185">
                  <c:v>824.40884798509182</c:v>
                </c:pt>
                <c:pt idx="186">
                  <c:v>825.94531609022613</c:v>
                </c:pt>
                <c:pt idx="187">
                  <c:v>827.47871022860784</c:v>
                </c:pt>
                <c:pt idx="188">
                  <c:v>829.00903901424977</c:v>
                </c:pt>
                <c:pt idx="189">
                  <c:v>830.53631101815802</c:v>
                </c:pt>
                <c:pt idx="190">
                  <c:v>832.0605347686153</c:v>
                </c:pt>
                <c:pt idx="191">
                  <c:v>833.58171875146195</c:v>
                </c:pt>
                <c:pt idx="192">
                  <c:v>835.09987141037402</c:v>
                </c:pt>
                <c:pt idx="193">
                  <c:v>836.61500114713988</c:v>
                </c:pt>
                <c:pt idx="194">
                  <c:v>838.12711632193384</c:v>
                </c:pt>
                <c:pt idx="195">
                  <c:v>839.63622525358812</c:v>
                </c:pt>
                <c:pt idx="196">
                  <c:v>841.14233621986205</c:v>
                </c:pt>
                <c:pt idx="197">
                  <c:v>842.64545745770943</c:v>
                </c:pt>
                <c:pt idx="198">
                  <c:v>844.14559716354347</c:v>
                </c:pt>
                <c:pt idx="199">
                  <c:v>845.64276349349961</c:v>
                </c:pt>
                <c:pt idx="200">
                  <c:v>847.13696456369655</c:v>
                </c:pt>
                <c:pt idx="201">
                  <c:v>861.91651145098501</c:v>
                </c:pt>
                <c:pt idx="202">
                  <c:v>876.40471072443597</c:v>
                </c:pt>
                <c:pt idx="203">
                  <c:v>890.60930823471767</c:v>
                </c:pt>
                <c:pt idx="204">
                  <c:v>904.53768176716221</c:v>
                </c:pt>
                <c:pt idx="205">
                  <c:v>918.19686378102733</c:v>
                </c:pt>
                <c:pt idx="206">
                  <c:v>931.59356239756562</c:v>
                </c:pt>
                <c:pt idx="207">
                  <c:v>944.73418079687815</c:v>
                </c:pt>
                <c:pt idx="208">
                  <c:v>957.62483516666873</c:v>
                </c:pt>
                <c:pt idx="209">
                  <c:v>970.27137133116059</c:v>
                </c:pt>
                <c:pt idx="210">
                  <c:v>982.67938017532163</c:v>
                </c:pt>
                <c:pt idx="211">
                  <c:v>994.85421196794755</c:v>
                </c:pt>
                <c:pt idx="212">
                  <c:v>1006.8009896768708</c:v>
                </c:pt>
                <c:pt idx="213">
                  <c:v>1018.5246213604394</c:v>
                </c:pt>
                <c:pt idx="214">
                  <c:v>1030.0298117112916</c:v>
                </c:pt>
                <c:pt idx="215">
                  <c:v>1041.3210728212212</c:v>
                </c:pt>
                <c:pt idx="216">
                  <c:v>1052.4027342294735</c:v>
                </c:pt>
                <c:pt idx="217">
                  <c:v>1063.2789523110446</c:v>
                </c:pt>
                <c:pt idx="218">
                  <c:v>1073.9537190563881</c:v>
                </c:pt>
                <c:pt idx="219">
                  <c:v>1084.4308702893049</c:v>
                </c:pt>
                <c:pt idx="220">
                  <c:v>1094.7140933656283</c:v>
                </c:pt>
                <c:pt idx="221">
                  <c:v>1104.8069343915781</c:v>
                </c:pt>
                <c:pt idx="222">
                  <c:v>1114.7128049972871</c:v>
                </c:pt>
                <c:pt idx="223">
                  <c:v>1124.4349886979628</c:v>
                </c:pt>
                <c:pt idx="224">
                  <c:v>1133.9766468724047</c:v>
                </c:pt>
                <c:pt idx="225">
                  <c:v>1143.3408243861154</c:v>
                </c:pt>
                <c:pt idx="226">
                  <c:v>1152.5304548839938</c:v>
                </c:pt>
                <c:pt idx="227">
                  <c:v>1161.5483657755656</c:v>
                </c:pt>
                <c:pt idx="228">
                  <c:v>1170.3972829338527</c:v>
                </c:pt>
                <c:pt idx="229">
                  <c:v>1179.0798351273077</c:v>
                </c:pt>
                <c:pt idx="230">
                  <c:v>1187.5985582027042</c:v>
                </c:pt>
                <c:pt idx="231">
                  <c:v>1195.9558990354885</c:v>
                </c:pt>
                <c:pt idx="232">
                  <c:v>1204.1542192628228</c:v>
                </c:pt>
                <c:pt idx="233">
                  <c:v>1212.1957988133934</c:v>
                </c:pt>
                <c:pt idx="234">
                  <c:v>1220.0828392469994</c:v>
                </c:pt>
                <c:pt idx="235">
                  <c:v>1227.8174669159669</c:v>
                </c:pt>
                <c:pt idx="236">
                  <c:v>1235.4017359595475</c:v>
                </c:pt>
                <c:pt idx="237">
                  <c:v>1242.8376311416487</c:v>
                </c:pt>
                <c:pt idx="238">
                  <c:v>1250.1270705414959</c:v>
                </c:pt>
                <c:pt idx="239">
                  <c:v>1257.2719081061441</c:v>
                </c:pt>
                <c:pt idx="240">
                  <c:v>1264.2739360731264</c:v>
                </c:pt>
                <c:pt idx="241">
                  <c:v>1271.1348872709498</c:v>
                </c:pt>
                <c:pt idx="242">
                  <c:v>1277.8564373046145</c:v>
                </c:pt>
                <c:pt idx="243">
                  <c:v>1284.4402066328453</c:v>
                </c:pt>
                <c:pt idx="244">
                  <c:v>1290.8877625432706</c:v>
                </c:pt>
                <c:pt idx="245">
                  <c:v>1297.2006210313668</c:v>
                </c:pt>
                <c:pt idx="246">
                  <c:v>1303.3802485886022</c:v>
                </c:pt>
                <c:pt idx="247">
                  <c:v>1309.4280639048604</c:v>
                </c:pt>
                <c:pt idx="248">
                  <c:v>1315.3454394898936</c:v>
                </c:pt>
                <c:pt idx="249">
                  <c:v>1321.1337032182519</c:v>
                </c:pt>
                <c:pt idx="250">
                  <c:v>1326.7941398018568</c:v>
                </c:pt>
                <c:pt idx="251">
                  <c:v>1332.3279921941271</c:v>
                </c:pt>
                <c:pt idx="252">
                  <c:v>1337.7364629293234</c:v>
                </c:pt>
                <c:pt idx="253">
                  <c:v>1343.020715400557</c:v>
                </c:pt>
                <c:pt idx="254">
                  <c:v>1348.1818750797065</c:v>
                </c:pt>
                <c:pt idx="255">
                  <c:v>1353.2210306822901</c:v>
                </c:pt>
                <c:pt idx="256">
                  <c:v>1358.1392352801724</c:v>
                </c:pt>
                <c:pt idx="257">
                  <c:v>1362.9375073648184</c:v>
                </c:pt>
                <c:pt idx="258">
                  <c:v>1367.6168318636637</c:v>
                </c:pt>
                <c:pt idx="259">
                  <c:v>1372.1781611120282</c:v>
                </c:pt>
                <c:pt idx="260">
                  <c:v>1376.6224157828801</c:v>
                </c:pt>
                <c:pt idx="261">
                  <c:v>1380.9504857766406</c:v>
                </c:pt>
                <c:pt idx="262">
                  <c:v>1385.1632310731152</c:v>
                </c:pt>
                <c:pt idx="263">
                  <c:v>1389.2614825475503</c:v>
                </c:pt>
                <c:pt idx="264">
                  <c:v>1393.2460427527217</c:v>
                </c:pt>
                <c:pt idx="265">
                  <c:v>1397.1176866688968</c:v>
                </c:pt>
                <c:pt idx="266">
                  <c:v>1400.8771624234441</c:v>
                </c:pt>
                <c:pt idx="267">
                  <c:v>1404.5251919818138</c:v>
                </c:pt>
                <c:pt idx="268">
                  <c:v>1408.0624718115669</c:v>
                </c:pt>
                <c:pt idx="269">
                  <c:v>1411.4896735211021</c:v>
                </c:pt>
                <c:pt idx="270">
                  <c:v>1414.8074444747053</c:v>
                </c:pt>
                <c:pt idx="271">
                  <c:v>1418.0164083855402</c:v>
                </c:pt>
                <c:pt idx="272">
                  <c:v>1421.1171658881976</c:v>
                </c:pt>
                <c:pt idx="273">
                  <c:v>1424.1102950924433</c:v>
                </c:pt>
                <c:pt idx="274">
                  <c:v>1426.9963521198263</c:v>
                </c:pt>
                <c:pt idx="275">
                  <c:v>1429.775871624867</c:v>
                </c:pt>
                <c:pt idx="276">
                  <c:v>1432.4493673025966</c:v>
                </c:pt>
                <c:pt idx="277">
                  <c:v>1435.0173323843062</c:v>
                </c:pt>
                <c:pt idx="278">
                  <c:v>1437.480240123466</c:v>
                </c:pt>
                <c:pt idx="279">
                  <c:v>1439.8385442738902</c:v>
                </c:pt>
                <c:pt idx="280">
                  <c:v>1442.0926795623748</c:v>
                </c:pt>
                <c:pt idx="281">
                  <c:v>1444.2430621581937</c:v>
                </c:pt>
                <c:pt idx="282">
                  <c:v>1446.2900901420362</c:v>
                </c:pt>
                <c:pt idx="283">
                  <c:v>1448.2341439771728</c:v>
                </c:pt>
                <c:pt idx="284">
                  <c:v>1450.0755869858763</c:v>
                </c:pt>
                <c:pt idx="285">
                  <c:v>1451.8147658343685</c:v>
                </c:pt>
                <c:pt idx="286">
                  <c:v>1453.4520110298265</c:v>
                </c:pt>
                <c:pt idx="287">
                  <c:v>1454.9876374332403</c:v>
                </c:pt>
                <c:pt idx="288">
                  <c:v>1456.4219447921628</c:v>
                </c:pt>
                <c:pt idx="289">
                  <c:v>1457.7552182976133</c:v>
                </c:pt>
                <c:pt idx="290">
                  <c:v>1458.9877291695527</c:v>
                </c:pt>
                <c:pt idx="291">
                  <c:v>1460.119735275435</c:v>
                </c:pt>
                <c:pt idx="292">
                  <c:v>1461.1514817862901</c:v>
                </c:pt>
                <c:pt idx="293">
                  <c:v>1462.083201874603</c:v>
                </c:pt>
                <c:pt idx="294">
                  <c:v>1462.9151174578424</c:v>
                </c:pt>
                <c:pt idx="295">
                  <c:v>1463.6474399908566</c:v>
                </c:pt>
                <c:pt idx="296">
                  <c:v>1464.2803713094268</c:v>
                </c:pt>
                <c:pt idx="297">
                  <c:v>1464.8141045260568</c:v>
                </c:pt>
                <c:pt idx="298">
                  <c:v>1465.2488249775708</c:v>
                </c:pt>
                <c:pt idx="299">
                  <c:v>1465.5847112223169</c:v>
                </c:pt>
                <c:pt idx="300">
                  <c:v>1465.8219360828161</c:v>
                </c:pt>
                <c:pt idx="301">
                  <c:v>1465.9606677276442</c:v>
                </c:pt>
                <c:pt idx="302">
                  <c:v>1466.0010707843194</c:v>
                </c:pt>
                <c:pt idx="303">
                  <c:v>1465.9433074731642</c:v>
                </c:pt>
                <c:pt idx="304">
                  <c:v>1465.7875387506494</c:v>
                </c:pt>
                <c:pt idx="305">
                  <c:v>1465.5339254497608</c:v>
                </c:pt>
                <c:pt idx="306">
                  <c:v>1465.182629404547</c:v>
                </c:pt>
                <c:pt idx="307">
                  <c:v>1464.7338145462566</c:v>
                </c:pt>
                <c:pt idx="308">
                  <c:v>1464.1876479593079</c:v>
                </c:pt>
                <c:pt idx="309">
                  <c:v>1463.5443008867126</c:v>
                </c:pt>
                <c:pt idx="310">
                  <c:v>1462.8039496763211</c:v>
                </c:pt>
                <c:pt idx="311">
                  <c:v>1461.9667766612552</c:v>
                </c:pt>
                <c:pt idx="312">
                  <c:v>1461.0329709699633</c:v>
                </c:pt>
                <c:pt idx="313">
                  <c:v>1460.0027292633401</c:v>
                </c:pt>
                <c:pt idx="314">
                  <c:v>1458.8762563981816</c:v>
                </c:pt>
                <c:pt idx="315">
                  <c:v>1457.6537660178192</c:v>
                </c:pt>
                <c:pt idx="316">
                  <c:v>1456.3354810720582</c:v>
                </c:pt>
                <c:pt idx="317">
                  <c:v>1454.9216342695106</c:v>
                </c:pt>
                <c:pt idx="318">
                  <c:v>1453.4124684661058</c:v>
                </c:pt>
                <c:pt idx="319">
                  <c:v>1451.8082369939816</c:v>
                </c:pt>
                <c:pt idx="320">
                  <c:v>1450.1092039351695</c:v>
                </c:pt>
                <c:pt idx="321">
                  <c:v>1448.3156443445296</c:v>
                </c:pt>
                <c:pt idx="322">
                  <c:v>1446.4278444262925</c:v>
                </c:pt>
                <c:pt idx="323">
                  <c:v>1444.4461016683847</c:v>
                </c:pt>
                <c:pt idx="324">
                  <c:v>1442.370724938464</c:v>
                </c:pt>
                <c:pt idx="325">
                  <c:v>1440.202034545312</c:v>
                </c:pt>
                <c:pt idx="326">
                  <c:v>1437.9403622689326</c:v>
                </c:pt>
                <c:pt idx="327">
                  <c:v>1435.5860513624064</c:v>
                </c:pt>
                <c:pt idx="328">
                  <c:v>1433.1394565282619</c:v>
                </c:pt>
                <c:pt idx="329">
                  <c:v>1430.6009438718504</c:v>
                </c:pt>
                <c:pt idx="330">
                  <c:v>1427.9708908339576</c:v>
                </c:pt>
                <c:pt idx="331">
                  <c:v>1425.2496861046529</c:v>
                </c:pt>
                <c:pt idx="332">
                  <c:v>1422.4377295201671</c:v>
                </c:pt>
                <c:pt idx="333">
                  <c:v>1419.5354319443991</c:v>
                </c:pt>
                <c:pt idx="334">
                  <c:v>1416.5432151364894</c:v>
                </c:pt>
                <c:pt idx="335">
                  <c:v>1413.461511605745</c:v>
                </c:pt>
                <c:pt idx="336">
                  <c:v>1410.2907644550721</c:v>
                </c:pt>
                <c:pt idx="337">
                  <c:v>1407.0314272139569</c:v>
                </c:pt>
                <c:pt idx="338">
                  <c:v>1403.6839636619377</c:v>
                </c:pt>
                <c:pt idx="339">
                  <c:v>1400.2488476434173</c:v>
                </c:pt>
                <c:pt idx="340">
                  <c:v>1396.7265628745949</c:v>
                </c:pt>
                <c:pt idx="341">
                  <c:v>1393.1176027432225</c:v>
                </c:pt>
                <c:pt idx="342">
                  <c:v>1389.4224701018388</c:v>
                </c:pt>
                <c:pt idx="343">
                  <c:v>1385.6416770550761</c:v>
                </c:pt>
                <c:pt idx="344">
                  <c:v>1381.7757447415947</c:v>
                </c:pt>
                <c:pt idx="345">
                  <c:v>1377.8252031111583</c:v>
                </c:pt>
                <c:pt idx="346">
                  <c:v>1373.7905906973285</c:v>
                </c:pt>
                <c:pt idx="347">
                  <c:v>1369.6724543862269</c:v>
                </c:pt>
                <c:pt idx="348">
                  <c:v>1365.4713491817849</c:v>
                </c:pt>
                <c:pt idx="349">
                  <c:v>1361.187837967879</c:v>
                </c:pt>
                <c:pt idx="350">
                  <c:v>1356.8224912677242</c:v>
                </c:pt>
                <c:pt idx="351">
                  <c:v>1352.3758870008837</c:v>
                </c:pt>
                <c:pt idx="352">
                  <c:v>1347.8486102382299</c:v>
                </c:pt>
                <c:pt idx="353">
                  <c:v>1343.2412529551812</c:v>
                </c:pt>
                <c:pt idx="354">
                  <c:v>1338.5544137835193</c:v>
                </c:pt>
                <c:pt idx="355">
                  <c:v>1333.7886977620844</c:v>
                </c:pt>
                <c:pt idx="356">
                  <c:v>1328.9447160866268</c:v>
                </c:pt>
                <c:pt idx="357">
                  <c:v>1324.0230858590865</c:v>
                </c:pt>
                <c:pt idx="358">
                  <c:v>1319.0244298365599</c:v>
                </c:pt>
                <c:pt idx="359">
                  <c:v>1313.9493761802044</c:v>
                </c:pt>
                <c:pt idx="360">
                  <c:v>1308.7985582043175</c:v>
                </c:pt>
                <c:pt idx="361">
                  <c:v>1303.5726141258235</c:v>
                </c:pt>
                <c:pt idx="362">
                  <c:v>1298.2721868143885</c:v>
                </c:pt>
                <c:pt idx="363">
                  <c:v>1292.8979235433762</c:v>
                </c:pt>
                <c:pt idx="364">
                  <c:v>1287.4504757418517</c:v>
                </c:pt>
                <c:pt idx="365">
                  <c:v>1281.9304987478276</c:v>
                </c:pt>
                <c:pt idx="366">
                  <c:v>1276.3386515629445</c:v>
                </c:pt>
                <c:pt idx="367">
                  <c:v>1270.6755966087658</c:v>
                </c:pt>
                <c:pt idx="368">
                  <c:v>1264.9419994848622</c:v>
                </c:pt>
                <c:pt idx="369">
                  <c:v>1259.1385287288529</c:v>
                </c:pt>
                <c:pt idx="370">
                  <c:v>1253.2658555785631</c:v>
                </c:pt>
                <c:pt idx="371">
                  <c:v>1247.3246537364528</c:v>
                </c:pt>
                <c:pt idx="372">
                  <c:v>1241.315599136459</c:v>
                </c:pt>
                <c:pt idx="373">
                  <c:v>1235.2393697133962</c:v>
                </c:pt>
                <c:pt idx="374">
                  <c:v>1229.0966451750421</c:v>
                </c:pt>
                <c:pt idx="375">
                  <c:v>1222.8881067770401</c:v>
                </c:pt>
                <c:pt idx="376">
                  <c:v>1216.6144371007322</c:v>
                </c:pt>
                <c:pt idx="377">
                  <c:v>1210.2763198340401</c:v>
                </c:pt>
                <c:pt idx="378">
                  <c:v>1203.8744395554993</c:v>
                </c:pt>
                <c:pt idx="379">
                  <c:v>1197.4094815215456</c:v>
                </c:pt>
                <c:pt idx="380">
                  <c:v>1190.8821314571496</c:v>
                </c:pt>
                <c:pt idx="381">
                  <c:v>1184.293075349887</c:v>
                </c:pt>
                <c:pt idx="382">
                  <c:v>1177.6429992475246</c:v>
                </c:pt>
                <c:pt idx="383">
                  <c:v>1170.9325890592027</c:v>
                </c:pt>
                <c:pt idx="384">
                  <c:v>1164.1625303602784</c:v>
                </c:pt>
                <c:pt idx="385">
                  <c:v>1157.3335082008994</c:v>
                </c:pt>
                <c:pt idx="386">
                  <c:v>1150.4462069183635</c:v>
                </c:pt>
                <c:pt idx="387">
                  <c:v>1143.5013099533207</c:v>
                </c:pt>
                <c:pt idx="388">
                  <c:v>1136.499499669862</c:v>
                </c:pt>
                <c:pt idx="389">
                  <c:v>1129.4414571795412</c:v>
                </c:pt>
                <c:pt idx="390">
                  <c:v>1122.3278621693657</c:v>
                </c:pt>
                <c:pt idx="391">
                  <c:v>1115.1593927337885</c:v>
                </c:pt>
                <c:pt idx="392">
                  <c:v>1107.9367252107302</c:v>
                </c:pt>
                <c:pt idx="393">
                  <c:v>1100.6605340216531</c:v>
                </c:pt>
                <c:pt idx="394">
                  <c:v>1093.3314915157066</c:v>
                </c:pt>
                <c:pt idx="395">
                  <c:v>1085.9502678179549</c:v>
                </c:pt>
                <c:pt idx="396">
                  <c:v>1078.5175306817011</c:v>
                </c:pt>
                <c:pt idx="397">
                  <c:v>1071.0339453449076</c:v>
                </c:pt>
                <c:pt idx="398">
                  <c:v>1063.5001743907167</c:v>
                </c:pt>
                <c:pt idx="399">
                  <c:v>1055.9168776120684</c:v>
                </c:pt>
                <c:pt idx="400">
                  <c:v>1048.2847118804068</c:v>
                </c:pt>
                <c:pt idx="401">
                  <c:v>1040.6043310184652</c:v>
                </c:pt>
                <c:pt idx="402">
                  <c:v>1032.876385677117</c:v>
                </c:pt>
                <c:pt idx="403">
                  <c:v>1025.1015232162724</c:v>
                </c:pt>
                <c:pt idx="404">
                  <c:v>1017.2803875898013</c:v>
                </c:pt>
                <c:pt idx="405">
                  <c:v>1009.4136192344587</c:v>
                </c:pt>
                <c:pt idx="406">
                  <c:v>1001.5018549627836</c:v>
                </c:pt>
                <c:pt idx="407">
                  <c:v>993.54572785994355</c:v>
                </c:pt>
                <c:pt idx="408">
                  <c:v>985.54586718449036</c:v>
                </c:pt>
                <c:pt idx="409">
                  <c:v>977.50289827299241</c:v>
                </c:pt>
                <c:pt idx="410">
                  <c:v>969.4174424485052</c:v>
                </c:pt>
                <c:pt idx="411">
                  <c:v>961.29011693284019</c:v>
                </c:pt>
                <c:pt idx="412">
                  <c:v>953.12153476258914</c:v>
                </c:pt>
                <c:pt idx="413">
                  <c:v>944.91230470885955</c:v>
                </c:pt>
                <c:pt idx="414">
                  <c:v>936.66303120067471</c:v>
                </c:pt>
                <c:pt idx="415">
                  <c:v>928.3743142519894</c:v>
                </c:pt>
                <c:pt idx="416">
                  <c:v>920.04674939227209</c:v>
                </c:pt>
                <c:pt idx="417">
                  <c:v>911.68092760060051</c:v>
                </c:pt>
                <c:pt idx="418">
                  <c:v>903.27743524321897</c:v>
                </c:pt>
                <c:pt idx="419">
                  <c:v>894.83685401450157</c:v>
                </c:pt>
                <c:pt idx="420">
                  <c:v>886.35976088126597</c:v>
                </c:pt>
                <c:pt idx="421">
                  <c:v>877.84672803038086</c:v>
                </c:pt>
                <c:pt idx="422">
                  <c:v>869.29832281960842</c:v>
                </c:pt>
                <c:pt idx="423">
                  <c:v>860.71510773162379</c:v>
                </c:pt>
                <c:pt idx="424">
                  <c:v>852.09764033115061</c:v>
                </c:pt>
                <c:pt idx="425">
                  <c:v>843.44647322515334</c:v>
                </c:pt>
                <c:pt idx="426">
                  <c:v>834.76215402602361</c:v>
                </c:pt>
                <c:pt idx="427">
                  <c:v>826.04522531770033</c:v>
                </c:pt>
                <c:pt idx="428">
                  <c:v>817.29622462466045</c:v>
                </c:pt>
                <c:pt idx="429">
                  <c:v>808.51568438371839</c:v>
                </c:pt>
                <c:pt idx="430">
                  <c:v>799.70413191857006</c:v>
                </c:pt>
                <c:pt idx="431">
                  <c:v>790.86208941702012</c:v>
                </c:pt>
                <c:pt idx="432">
                  <c:v>781.99007391082785</c:v>
                </c:pt>
                <c:pt idx="433">
                  <c:v>773.08859725810896</c:v>
                </c:pt>
                <c:pt idx="434">
                  <c:v>764.15816612822994</c:v>
                </c:pt>
                <c:pt idx="435">
                  <c:v>755.19928198913135</c:v>
                </c:pt>
                <c:pt idx="436">
                  <c:v>746.21244109701797</c:v>
                </c:pt>
                <c:pt idx="437">
                  <c:v>737.1981344883518</c:v>
                </c:pt>
                <c:pt idx="438">
                  <c:v>728.15684797408596</c:v>
                </c:pt>
                <c:pt idx="439">
                  <c:v>719.08906213607725</c:v>
                </c:pt>
                <c:pt idx="440">
                  <c:v>709.99525232561496</c:v>
                </c:pt>
                <c:pt idx="441">
                  <c:v>700.87588866400472</c:v>
                </c:pt>
                <c:pt idx="442">
                  <c:v>691.73143604514667</c:v>
                </c:pt>
                <c:pt idx="443">
                  <c:v>682.56235414004698</c:v>
                </c:pt>
                <c:pt idx="444">
                  <c:v>673.369097403203</c:v>
                </c:pt>
                <c:pt idx="445">
                  <c:v>664.15211508080245</c:v>
                </c:pt>
                <c:pt idx="446">
                  <c:v>654.91185122067816</c:v>
                </c:pt>
                <c:pt idx="447">
                  <c:v>645.64874468396067</c:v>
                </c:pt>
                <c:pt idx="448">
                  <c:v>636.36322915837013</c:v>
                </c:pt>
                <c:pt idx="449">
                  <c:v>627.05573317309222</c:v>
                </c:pt>
                <c:pt idx="450">
                  <c:v>617.72668011518169</c:v>
                </c:pt>
                <c:pt idx="451">
                  <c:v>608.37648824743826</c:v>
                </c:pt>
                <c:pt idx="452">
                  <c:v>599.00557072770096</c:v>
                </c:pt>
                <c:pt idx="453">
                  <c:v>589.61433562950685</c:v>
                </c:pt>
                <c:pt idx="454">
                  <c:v>580.20318596406298</c:v>
                </c:pt>
                <c:pt idx="455">
                  <c:v>570.77251970347777</c:v>
                </c:pt>
                <c:pt idx="456">
                  <c:v>561.32272980520293</c:v>
                </c:pt>
                <c:pt idx="457">
                  <c:v>551.85420423763514</c:v>
                </c:pt>
                <c:pt idx="458">
                  <c:v>542.36732600682797</c:v>
                </c:pt>
                <c:pt idx="459">
                  <c:v>532.86247318426695</c:v>
                </c:pt>
                <c:pt idx="460">
                  <c:v>523.34001893566017</c:v>
                </c:pt>
                <c:pt idx="461">
                  <c:v>513.80033155069805</c:v>
                </c:pt>
                <c:pt idx="462">
                  <c:v>504.24377447373695</c:v>
                </c:pt>
                <c:pt idx="463">
                  <c:v>494.67070633536287</c:v>
                </c:pt>
                <c:pt idx="464">
                  <c:v>485.08148098479109</c:v>
                </c:pt>
                <c:pt idx="465">
                  <c:v>475.47644752305979</c:v>
                </c:pt>
                <c:pt idx="466">
                  <c:v>465.85595033697609</c:v>
                </c:pt>
                <c:pt idx="467">
                  <c:v>456.22032913377387</c:v>
                </c:pt>
                <c:pt idx="468">
                  <c:v>446.56991897644383</c:v>
                </c:pt>
                <c:pt idx="469">
                  <c:v>436.90505031969741</c:v>
                </c:pt>
                <c:pt idx="470">
                  <c:v>427.22604904652644</c:v>
                </c:pt>
                <c:pt idx="471">
                  <c:v>417.53323650532229</c:v>
                </c:pt>
                <c:pt idx="472">
                  <c:v>407.82692954751826</c:v>
                </c:pt>
                <c:pt idx="473">
                  <c:v>398.10744056572059</c:v>
                </c:pt>
                <c:pt idx="474">
                  <c:v>388.37507753229437</c:v>
                </c:pt>
                <c:pt idx="475">
                  <c:v>378.63014403837076</c:v>
                </c:pt>
                <c:pt idx="476">
                  <c:v>368.87293933324389</c:v>
                </c:pt>
                <c:pt idx="477">
                  <c:v>359.10375836412595</c:v>
                </c:pt>
                <c:pt idx="478">
                  <c:v>349.32289181623037</c:v>
                </c:pt>
                <c:pt idx="479">
                  <c:v>339.53062615315338</c:v>
                </c:pt>
                <c:pt idx="480">
                  <c:v>329.72724365752566</c:v>
                </c:pt>
                <c:pt idx="481">
                  <c:v>319.91302247190595</c:v>
                </c:pt>
                <c:pt idx="482">
                  <c:v>310.08823663989028</c:v>
                </c:pt>
                <c:pt idx="483">
                  <c:v>300.25315614741021</c:v>
                </c:pt>
                <c:pt idx="484">
                  <c:v>290.40804696419548</c:v>
                </c:pt>
                <c:pt idx="485">
                  <c:v>280.55317108537588</c:v>
                </c:pt>
                <c:pt idx="486">
                  <c:v>270.68878657319954</c:v>
                </c:pt>
                <c:pt idx="487">
                  <c:v>260.81514759884436</c:v>
                </c:pt>
                <c:pt idx="488">
                  <c:v>250.93250448430032</c:v>
                </c:pt>
                <c:pt idx="489">
                  <c:v>241.04110374430212</c:v>
                </c:pt>
                <c:pt idx="490">
                  <c:v>231.14118812829062</c:v>
                </c:pt>
                <c:pt idx="491">
                  <c:v>221.23299666238418</c:v>
                </c:pt>
                <c:pt idx="492">
                  <c:v>211.31676469133998</c:v>
                </c:pt>
                <c:pt idx="493">
                  <c:v>201.39272392048758</c:v>
                </c:pt>
                <c:pt idx="494">
                  <c:v>191.46110245761648</c:v>
                </c:pt>
                <c:pt idx="495">
                  <c:v>181.52212485480092</c:v>
                </c:pt>
                <c:pt idx="496">
                  <c:v>171.57601215014552</c:v>
                </c:pt>
                <c:pt idx="497">
                  <c:v>161.62298190943582</c:v>
                </c:pt>
                <c:pt idx="498">
                  <c:v>151.66324826767874</c:v>
                </c:pt>
                <c:pt idx="499">
                  <c:v>141.69702197051851</c:v>
                </c:pt>
                <c:pt idx="500">
                  <c:v>131.72451041551403</c:v>
                </c:pt>
                <c:pt idx="501">
                  <c:v>121.74591769326445</c:v>
                </c:pt>
                <c:pt idx="502">
                  <c:v>111.76144462837017</c:v>
                </c:pt>
                <c:pt idx="503">
                  <c:v>101.77128882021724</c:v>
                </c:pt>
                <c:pt idx="504">
                  <c:v>91.775644683573162</c:v>
                </c:pt>
                <c:pt idx="505">
                  <c:v>81.774703488983505</c:v>
                </c:pt>
                <c:pt idx="506">
                  <c:v>71.768653402958307</c:v>
                </c:pt>
                <c:pt idx="507">
                  <c:v>61.757679527938492</c:v>
                </c:pt>
                <c:pt idx="508">
                  <c:v>51.741963942032513</c:v>
                </c:pt>
                <c:pt idx="509">
                  <c:v>41.721685738514282</c:v>
                </c:pt>
                <c:pt idx="510">
                  <c:v>31.69702106507367</c:v>
                </c:pt>
                <c:pt idx="511">
                  <c:v>21.668143162811401</c:v>
                </c:pt>
                <c:pt idx="512">
                  <c:v>11.635222404970609</c:v>
                </c:pt>
                <c:pt idx="513">
                  <c:v>1.5984263353977717</c:v>
                </c:pt>
                <c:pt idx="514">
                  <c:v>-8.4420802932739214</c:v>
                </c:pt>
                <c:pt idx="515">
                  <c:v>-8.4521226160746306</c:v>
                </c:pt>
                <c:pt idx="516">
                  <c:v>-8.4621649423435041</c:v>
                </c:pt>
                <c:pt idx="517">
                  <c:v>-8.472207272080384</c:v>
                </c:pt>
                <c:pt idx="518">
                  <c:v>-8.482249605285114</c:v>
                </c:pt>
                <c:pt idx="519">
                  <c:v>-8.4922919419575358</c:v>
                </c:pt>
                <c:pt idx="520">
                  <c:v>-8.5023342820974914</c:v>
                </c:pt>
                <c:pt idx="521">
                  <c:v>-8.5123766257048228</c:v>
                </c:pt>
                <c:pt idx="522">
                  <c:v>-8.5224189727793718</c:v>
                </c:pt>
                <c:pt idx="523">
                  <c:v>-8.5324613233209821</c:v>
                </c:pt>
                <c:pt idx="524">
                  <c:v>-8.5425036773294938</c:v>
                </c:pt>
                <c:pt idx="525">
                  <c:v>-8.5525460348047506</c:v>
                </c:pt>
                <c:pt idx="526">
                  <c:v>-8.5625883957465945</c:v>
                </c:pt>
                <c:pt idx="527">
                  <c:v>-8.5726307601548672</c:v>
                </c:pt>
                <c:pt idx="528">
                  <c:v>-8.5826731280294126</c:v>
                </c:pt>
                <c:pt idx="529">
                  <c:v>-8.5927154993700725</c:v>
                </c:pt>
                <c:pt idx="530">
                  <c:v>-8.602757874176687</c:v>
                </c:pt>
                <c:pt idx="531">
                  <c:v>-8.6128002524490999</c:v>
                </c:pt>
                <c:pt idx="532">
                  <c:v>-8.6228426341871547</c:v>
                </c:pt>
                <c:pt idx="533">
                  <c:v>-8.6328850193906916</c:v>
                </c:pt>
                <c:pt idx="534">
                  <c:v>-8.6429274080595544</c:v>
                </c:pt>
                <c:pt idx="535">
                  <c:v>-8.6529698001935831</c:v>
                </c:pt>
                <c:pt idx="536">
                  <c:v>-8.6630121957926232</c:v>
                </c:pt>
                <c:pt idx="537">
                  <c:v>-8.6730545948565148</c:v>
                </c:pt>
                <c:pt idx="538">
                  <c:v>-8.6830969973850998</c:v>
                </c:pt>
                <c:pt idx="539">
                  <c:v>-8.6931394033782219</c:v>
                </c:pt>
                <c:pt idx="540">
                  <c:v>-8.703181812835723</c:v>
                </c:pt>
                <c:pt idx="541">
                  <c:v>-8.713224225757445</c:v>
                </c:pt>
                <c:pt idx="542">
                  <c:v>-8.7232666421432299</c:v>
                </c:pt>
                <c:pt idx="543">
                  <c:v>-8.7333090619929212</c:v>
                </c:pt>
                <c:pt idx="544">
                  <c:v>-8.7433514853063592</c:v>
                </c:pt>
                <c:pt idx="545">
                  <c:v>-8.7533939120833875</c:v>
                </c:pt>
                <c:pt idx="546">
                  <c:v>-8.7634363423238479</c:v>
                </c:pt>
                <c:pt idx="547">
                  <c:v>-8.7734787760275843</c:v>
                </c:pt>
                <c:pt idx="548">
                  <c:v>-8.7835212131944367</c:v>
                </c:pt>
                <c:pt idx="549">
                  <c:v>-8.7935636538242488</c:v>
                </c:pt>
                <c:pt idx="550">
                  <c:v>-8.8036060979168624</c:v>
                </c:pt>
                <c:pt idx="551">
                  <c:v>-8.8136485454721196</c:v>
                </c:pt>
                <c:pt idx="552">
                  <c:v>-8.823690996489864</c:v>
                </c:pt>
                <c:pt idx="553">
                  <c:v>-8.8337334509699375</c:v>
                </c:pt>
                <c:pt idx="554">
                  <c:v>-8.8437759089121819</c:v>
                </c:pt>
                <c:pt idx="555">
                  <c:v>-8.8538183703164393</c:v>
                </c:pt>
                <c:pt idx="556">
                  <c:v>-8.8638608351825514</c:v>
                </c:pt>
                <c:pt idx="557">
                  <c:v>-8.8739033035103621</c:v>
                </c:pt>
                <c:pt idx="558">
                  <c:v>-8.8839457752997131</c:v>
                </c:pt>
                <c:pt idx="559">
                  <c:v>-8.8939882505504464</c:v>
                </c:pt>
                <c:pt idx="560">
                  <c:v>-8.9040307292624039</c:v>
                </c:pt>
                <c:pt idx="561">
                  <c:v>-8.9140732114354293</c:v>
                </c:pt>
                <c:pt idx="562">
                  <c:v>-8.9241156970693645</c:v>
                </c:pt>
                <c:pt idx="563">
                  <c:v>-8.9341581861640513</c:v>
                </c:pt>
                <c:pt idx="564">
                  <c:v>-8.9442006787193318</c:v>
                </c:pt>
                <c:pt idx="565">
                  <c:v>-8.9542431747350495</c:v>
                </c:pt>
                <c:pt idx="566">
                  <c:v>-8.9642856742110464</c:v>
                </c:pt>
                <c:pt idx="567">
                  <c:v>-8.9743281771471644</c:v>
                </c:pt>
                <c:pt idx="568">
                  <c:v>-8.9843706835432453</c:v>
                </c:pt>
                <c:pt idx="569">
                  <c:v>-8.9944131933991329</c:v>
                </c:pt>
                <c:pt idx="570">
                  <c:v>-9.0044557067146691</c:v>
                </c:pt>
                <c:pt idx="571">
                  <c:v>-9.0144982234896958</c:v>
                </c:pt>
                <c:pt idx="572">
                  <c:v>-9.0245407437240548</c:v>
                </c:pt>
                <c:pt idx="573">
                  <c:v>-9.0345832674175899</c:v>
                </c:pt>
                <c:pt idx="574">
                  <c:v>-9.0446257945701429</c:v>
                </c:pt>
                <c:pt idx="575">
                  <c:v>-9.0546683251815558</c:v>
                </c:pt>
                <c:pt idx="576">
                  <c:v>-9.0647108592516705</c:v>
                </c:pt>
                <c:pt idx="577">
                  <c:v>-9.0747533967803307</c:v>
                </c:pt>
                <c:pt idx="578">
                  <c:v>-9.0847959377673781</c:v>
                </c:pt>
                <c:pt idx="579">
                  <c:v>-9.0948384822126549</c:v>
                </c:pt>
                <c:pt idx="580">
                  <c:v>-9.1048810301160046</c:v>
                </c:pt>
                <c:pt idx="581">
                  <c:v>-9.1149235814772673</c:v>
                </c:pt>
                <c:pt idx="582">
                  <c:v>-9.1249661362962868</c:v>
                </c:pt>
                <c:pt idx="583">
                  <c:v>-9.1350086945729068</c:v>
                </c:pt>
                <c:pt idx="584">
                  <c:v>-9.1450512563069672</c:v>
                </c:pt>
                <c:pt idx="585">
                  <c:v>-9.155093821498312</c:v>
                </c:pt>
                <c:pt idx="586">
                  <c:v>-9.1651363901467828</c:v>
                </c:pt>
                <c:pt idx="587">
                  <c:v>-9.1751789622522235</c:v>
                </c:pt>
                <c:pt idx="588">
                  <c:v>-9.1852215378144741</c:v>
                </c:pt>
                <c:pt idx="589">
                  <c:v>-9.1952641168333784</c:v>
                </c:pt>
                <c:pt idx="590">
                  <c:v>-9.20530669930878</c:v>
                </c:pt>
                <c:pt idx="591">
                  <c:v>-9.215349285240519</c:v>
                </c:pt>
                <c:pt idx="592">
                  <c:v>-9.2253918746284391</c:v>
                </c:pt>
                <c:pt idx="593">
                  <c:v>-9.2354344674723823</c:v>
                </c:pt>
                <c:pt idx="594">
                  <c:v>-9.2454770637721904</c:v>
                </c:pt>
                <c:pt idx="595">
                  <c:v>-9.2555196635277071</c:v>
                </c:pt>
                <c:pt idx="596">
                  <c:v>-9.2655622667387743</c:v>
                </c:pt>
                <c:pt idx="597">
                  <c:v>-9.2756048734052339</c:v>
                </c:pt>
                <c:pt idx="598">
                  <c:v>-9.2856474835269296</c:v>
                </c:pt>
                <c:pt idx="599">
                  <c:v>-9.2956900971037033</c:v>
                </c:pt>
                <c:pt idx="600">
                  <c:v>-9.3057327141353969</c:v>
                </c:pt>
                <c:pt idx="601">
                  <c:v>-9.3157753346218541</c:v>
                </c:pt>
                <c:pt idx="602">
                  <c:v>-9.3258179585629151</c:v>
                </c:pt>
                <c:pt idx="603">
                  <c:v>-9.3358605859584252</c:v>
                </c:pt>
                <c:pt idx="604">
                  <c:v>-9.3459032168082246</c:v>
                </c:pt>
                <c:pt idx="605">
                  <c:v>-9.3559458511121569</c:v>
                </c:pt>
                <c:pt idx="606">
                  <c:v>-9.3659884888700642</c:v>
                </c:pt>
                <c:pt idx="607">
                  <c:v>-9.3760311300817882</c:v>
                </c:pt>
                <c:pt idx="608">
                  <c:v>-9.3860737747471727</c:v>
                </c:pt>
                <c:pt idx="609">
                  <c:v>-9.3961164228660596</c:v>
                </c:pt>
                <c:pt idx="610">
                  <c:v>-9.4061590744382908</c:v>
                </c:pt>
                <c:pt idx="611">
                  <c:v>-9.4162017294637081</c:v>
                </c:pt>
                <c:pt idx="612">
                  <c:v>-9.4262443879421554</c:v>
                </c:pt>
                <c:pt idx="613">
                  <c:v>-9.4362870498734761</c:v>
                </c:pt>
                <c:pt idx="614">
                  <c:v>-9.4463297152575105</c:v>
                </c:pt>
                <c:pt idx="615">
                  <c:v>-9.4563723840941023</c:v>
                </c:pt>
                <c:pt idx="616">
                  <c:v>-9.4664150563830933</c:v>
                </c:pt>
                <c:pt idx="617">
                  <c:v>-9.4764577321243273</c:v>
                </c:pt>
                <c:pt idx="618">
                  <c:v>-9.4865004113176461</c:v>
                </c:pt>
                <c:pt idx="619">
                  <c:v>-9.4965430939628916</c:v>
                </c:pt>
                <c:pt idx="620">
                  <c:v>-9.5065857800599058</c:v>
                </c:pt>
                <c:pt idx="621">
                  <c:v>-9.5166284696085324</c:v>
                </c:pt>
                <c:pt idx="622">
                  <c:v>-9.5266711626086131</c:v>
                </c:pt>
                <c:pt idx="623">
                  <c:v>-9.5367138590599918</c:v>
                </c:pt>
                <c:pt idx="624">
                  <c:v>-9.5467565589625085</c:v>
                </c:pt>
                <c:pt idx="625">
                  <c:v>-9.5567992623160087</c:v>
                </c:pt>
                <c:pt idx="626">
                  <c:v>-9.5668419691203326</c:v>
                </c:pt>
                <c:pt idx="627">
                  <c:v>-9.5768846793753237</c:v>
                </c:pt>
                <c:pt idx="628">
                  <c:v>-9.5869273930808241</c:v>
                </c:pt>
                <c:pt idx="629">
                  <c:v>-9.5969701102366773</c:v>
                </c:pt>
                <c:pt idx="630">
                  <c:v>-9.6070128308427254</c:v>
                </c:pt>
                <c:pt idx="631">
                  <c:v>-9.6170555548988101</c:v>
                </c:pt>
                <c:pt idx="632">
                  <c:v>-9.6270982824047735</c:v>
                </c:pt>
                <c:pt idx="633">
                  <c:v>-9.6371410133604591</c:v>
                </c:pt>
                <c:pt idx="634">
                  <c:v>-9.647183747765709</c:v>
                </c:pt>
                <c:pt idx="635">
                  <c:v>-9.6572264856203667</c:v>
                </c:pt>
                <c:pt idx="636">
                  <c:v>-9.6672692269242742</c:v>
                </c:pt>
                <c:pt idx="637">
                  <c:v>-9.6773119716772733</c:v>
                </c:pt>
                <c:pt idx="638">
                  <c:v>-9.6873547198792078</c:v>
                </c:pt>
                <c:pt idx="639">
                  <c:v>-9.6973974715299196</c:v>
                </c:pt>
                <c:pt idx="640">
                  <c:v>-9.7074402266292505</c:v>
                </c:pt>
                <c:pt idx="641">
                  <c:v>-9.7174829851770443</c:v>
                </c:pt>
                <c:pt idx="642">
                  <c:v>-9.7275257471731429</c:v>
                </c:pt>
                <c:pt idx="643">
                  <c:v>-9.7375685126173899</c:v>
                </c:pt>
                <c:pt idx="644">
                  <c:v>-9.7476112815096272</c:v>
                </c:pt>
                <c:pt idx="645">
                  <c:v>-9.7576540538496968</c:v>
                </c:pt>
                <c:pt idx="646">
                  <c:v>-9.7676968296374405</c:v>
                </c:pt>
                <c:pt idx="647">
                  <c:v>-9.777739608872702</c:v>
                </c:pt>
                <c:pt idx="648">
                  <c:v>-9.787782391555325</c:v>
                </c:pt>
                <c:pt idx="649">
                  <c:v>-9.7978251776851497</c:v>
                </c:pt>
                <c:pt idx="650">
                  <c:v>-9.8078679672620197</c:v>
                </c:pt>
                <c:pt idx="651">
                  <c:v>-9.8179107602857787</c:v>
                </c:pt>
                <c:pt idx="652">
                  <c:v>-9.8279535567562686</c:v>
                </c:pt>
                <c:pt idx="653">
                  <c:v>-9.8379963566733313</c:v>
                </c:pt>
                <c:pt idx="654">
                  <c:v>-9.8480391600368087</c:v>
                </c:pt>
                <c:pt idx="655">
                  <c:v>-9.8580819668465445</c:v>
                </c:pt>
                <c:pt idx="656">
                  <c:v>-9.8681247771023823</c:v>
                </c:pt>
                <c:pt idx="657">
                  <c:v>-9.8781675908041624</c:v>
                </c:pt>
                <c:pt idx="658">
                  <c:v>-9.8882104079517301</c:v>
                </c:pt>
                <c:pt idx="659">
                  <c:v>-9.8982532285449256</c:v>
                </c:pt>
                <c:pt idx="660">
                  <c:v>-9.9082960525835926</c:v>
                </c:pt>
                <c:pt idx="661">
                  <c:v>-9.9183388800675729</c:v>
                </c:pt>
                <c:pt idx="662">
                  <c:v>-9.9283817109967103</c:v>
                </c:pt>
                <c:pt idx="663">
                  <c:v>-9.9384245453708466</c:v>
                </c:pt>
                <c:pt idx="664">
                  <c:v>-9.9484673831898238</c:v>
                </c:pt>
                <c:pt idx="665">
                  <c:v>-9.9585102244534855</c:v>
                </c:pt>
                <c:pt idx="666">
                  <c:v>-9.9685530691616737</c:v>
                </c:pt>
                <c:pt idx="667">
                  <c:v>-9.978595917314232</c:v>
                </c:pt>
                <c:pt idx="668">
                  <c:v>-9.9886387689110023</c:v>
                </c:pt>
                <c:pt idx="669">
                  <c:v>-9.9986816239518284</c:v>
                </c:pt>
                <c:pt idx="670">
                  <c:v>-10.00872448243655</c:v>
                </c:pt>
                <c:pt idx="671">
                  <c:v>-10.018767344365013</c:v>
                </c:pt>
                <c:pt idx="672">
                  <c:v>-10.028810209737058</c:v>
                </c:pt>
                <c:pt idx="673">
                  <c:v>-10.038853078552528</c:v>
                </c:pt>
                <c:pt idx="674">
                  <c:v>-10.048895950811266</c:v>
                </c:pt>
                <c:pt idx="675">
                  <c:v>-10.058938826513115</c:v>
                </c:pt>
                <c:pt idx="676">
                  <c:v>-10.068981705657917</c:v>
                </c:pt>
                <c:pt idx="677">
                  <c:v>-10.079024588245515</c:v>
                </c:pt>
                <c:pt idx="678">
                  <c:v>-10.089067474275751</c:v>
                </c:pt>
                <c:pt idx="679">
                  <c:v>-10.099110363748469</c:v>
                </c:pt>
                <c:pt idx="680">
                  <c:v>-10.109153256663509</c:v>
                </c:pt>
                <c:pt idx="681">
                  <c:v>-10.119196153020717</c:v>
                </c:pt>
                <c:pt idx="682">
                  <c:v>-10.129239052819933</c:v>
                </c:pt>
                <c:pt idx="683">
                  <c:v>-10.139281956061001</c:v>
                </c:pt>
                <c:pt idx="684">
                  <c:v>-10.149324862743764</c:v>
                </c:pt>
                <c:pt idx="685">
                  <c:v>-10.159367772868064</c:v>
                </c:pt>
                <c:pt idx="686">
                  <c:v>-10.169410686433743</c:v>
                </c:pt>
                <c:pt idx="687">
                  <c:v>-10.179453603440644</c:v>
                </c:pt>
                <c:pt idx="688">
                  <c:v>-10.189496523888609</c:v>
                </c:pt>
                <c:pt idx="689">
                  <c:v>-10.199539447777482</c:v>
                </c:pt>
                <c:pt idx="690">
                  <c:v>-10.209582375107107</c:v>
                </c:pt>
                <c:pt idx="691">
                  <c:v>-10.219625305877324</c:v>
                </c:pt>
                <c:pt idx="692">
                  <c:v>-10.229668240087976</c:v>
                </c:pt>
                <c:pt idx="693">
                  <c:v>-10.239711177738908</c:v>
                </c:pt>
                <c:pt idx="694">
                  <c:v>-10.24975411882996</c:v>
                </c:pt>
                <c:pt idx="695">
                  <c:v>-10.259797063360976</c:v>
                </c:pt>
                <c:pt idx="696">
                  <c:v>-10.269840011331798</c:v>
                </c:pt>
                <c:pt idx="697">
                  <c:v>-10.279882962742269</c:v>
                </c:pt>
                <c:pt idx="698">
                  <c:v>-10.289925917592232</c:v>
                </c:pt>
                <c:pt idx="699">
                  <c:v>-10.299968875881529</c:v>
                </c:pt>
                <c:pt idx="700">
                  <c:v>-10.310011837610004</c:v>
                </c:pt>
                <c:pt idx="701">
                  <c:v>-10.320054802777499</c:v>
                </c:pt>
                <c:pt idx="702">
                  <c:v>-10.330097771383857</c:v>
                </c:pt>
                <c:pt idx="703">
                  <c:v>-10.34014074342892</c:v>
                </c:pt>
                <c:pt idx="704">
                  <c:v>-10.350183718912531</c:v>
                </c:pt>
                <c:pt idx="705">
                  <c:v>-10.360226697834532</c:v>
                </c:pt>
                <c:pt idx="706">
                  <c:v>-10.370269680194767</c:v>
                </c:pt>
                <c:pt idx="707">
                  <c:v>-10.380312665993078</c:v>
                </c:pt>
                <c:pt idx="708">
                  <c:v>-10.390355655229309</c:v>
                </c:pt>
                <c:pt idx="709">
                  <c:v>-10.4003986479033</c:v>
                </c:pt>
                <c:pt idx="710">
                  <c:v>-10.410441644014897</c:v>
                </c:pt>
                <c:pt idx="711">
                  <c:v>-10.42048464356394</c:v>
                </c:pt>
                <c:pt idx="712">
                  <c:v>-10.430527646550273</c:v>
                </c:pt>
                <c:pt idx="713">
                  <c:v>-10.440570652973738</c:v>
                </c:pt>
                <c:pt idx="714">
                  <c:v>-10.450613662834179</c:v>
                </c:pt>
                <c:pt idx="715">
                  <c:v>-10.460656676131439</c:v>
                </c:pt>
                <c:pt idx="716">
                  <c:v>-10.47069969286536</c:v>
                </c:pt>
                <c:pt idx="717">
                  <c:v>-10.480742713035783</c:v>
                </c:pt>
                <c:pt idx="718">
                  <c:v>-10.490785736642552</c:v>
                </c:pt>
                <c:pt idx="719">
                  <c:v>-10.500828763685512</c:v>
                </c:pt>
                <c:pt idx="720">
                  <c:v>-10.510871794164503</c:v>
                </c:pt>
                <c:pt idx="721">
                  <c:v>-10.520914828079368</c:v>
                </c:pt>
                <c:pt idx="722">
                  <c:v>-10.530957865429951</c:v>
                </c:pt>
                <c:pt idx="723">
                  <c:v>-10.541000906216093</c:v>
                </c:pt>
                <c:pt idx="724">
                  <c:v>-10.551043950437638</c:v>
                </c:pt>
                <c:pt idx="725">
                  <c:v>-10.561086998094428</c:v>
                </c:pt>
                <c:pt idx="726">
                  <c:v>-10.571130049186307</c:v>
                </c:pt>
                <c:pt idx="727">
                  <c:v>-10.581173103713118</c:v>
                </c:pt>
                <c:pt idx="728">
                  <c:v>-10.591216161674701</c:v>
                </c:pt>
                <c:pt idx="729">
                  <c:v>-10.601259223070903</c:v>
                </c:pt>
                <c:pt idx="730">
                  <c:v>-10.611302287901562</c:v>
                </c:pt>
                <c:pt idx="731">
                  <c:v>-10.621345356166525</c:v>
                </c:pt>
                <c:pt idx="732">
                  <c:v>-10.631388427865632</c:v>
                </c:pt>
                <c:pt idx="733">
                  <c:v>-10.641431502998728</c:v>
                </c:pt>
                <c:pt idx="734">
                  <c:v>-10.651474581565655</c:v>
                </c:pt>
                <c:pt idx="735">
                  <c:v>-10.661517663566254</c:v>
                </c:pt>
                <c:pt idx="736">
                  <c:v>-10.671560749000371</c:v>
                </c:pt>
                <c:pt idx="737">
                  <c:v>-10.681603837867845</c:v>
                </c:pt>
                <c:pt idx="738">
                  <c:v>-10.691646930168522</c:v>
                </c:pt>
                <c:pt idx="739">
                  <c:v>-10.701690025902243</c:v>
                </c:pt>
                <c:pt idx="740">
                  <c:v>-10.711733125068852</c:v>
                </c:pt>
                <c:pt idx="741">
                  <c:v>-10.72177622766819</c:v>
                </c:pt>
                <c:pt idx="742">
                  <c:v>-10.731819333700102</c:v>
                </c:pt>
                <c:pt idx="743">
                  <c:v>-10.741862443164429</c:v>
                </c:pt>
                <c:pt idx="744">
                  <c:v>-10.751905556061015</c:v>
                </c:pt>
                <c:pt idx="745">
                  <c:v>-10.761948672389702</c:v>
                </c:pt>
                <c:pt idx="746">
                  <c:v>-10.771991792150333</c:v>
                </c:pt>
                <c:pt idx="747">
                  <c:v>-10.782034915342752</c:v>
                </c:pt>
                <c:pt idx="748">
                  <c:v>-10.792078041966802</c:v>
                </c:pt>
                <c:pt idx="749">
                  <c:v>-10.802121172022323</c:v>
                </c:pt>
                <c:pt idx="750">
                  <c:v>-10.81216430550916</c:v>
                </c:pt>
                <c:pt idx="751">
                  <c:v>-10.822207442427157</c:v>
                </c:pt>
                <c:pt idx="752">
                  <c:v>-10.832250582776155</c:v>
                </c:pt>
                <c:pt idx="753">
                  <c:v>-10.842293726555996</c:v>
                </c:pt>
                <c:pt idx="754">
                  <c:v>-10.852336873766523</c:v>
                </c:pt>
                <c:pt idx="755">
                  <c:v>-10.862380024407582</c:v>
                </c:pt>
                <c:pt idx="756">
                  <c:v>-10.872423178479012</c:v>
                </c:pt>
                <c:pt idx="757">
                  <c:v>-10.882466335980657</c:v>
                </c:pt>
                <c:pt idx="758">
                  <c:v>-10.892509496912362</c:v>
                </c:pt>
                <c:pt idx="759">
                  <c:v>-10.902552661273967</c:v>
                </c:pt>
                <c:pt idx="760">
                  <c:v>-10.912595829065317</c:v>
                </c:pt>
                <c:pt idx="761">
                  <c:v>-10.922639000286253</c:v>
                </c:pt>
                <c:pt idx="762">
                  <c:v>-10.93268217493662</c:v>
                </c:pt>
                <c:pt idx="763">
                  <c:v>-10.942725353016259</c:v>
                </c:pt>
                <c:pt idx="764">
                  <c:v>-10.952768534525013</c:v>
                </c:pt>
                <c:pt idx="765">
                  <c:v>-10.962811719462726</c:v>
                </c:pt>
                <c:pt idx="766">
                  <c:v>-10.972854907829241</c:v>
                </c:pt>
                <c:pt idx="767">
                  <c:v>-10.9828980996244</c:v>
                </c:pt>
                <c:pt idx="768">
                  <c:v>-10.992941294848045</c:v>
                </c:pt>
                <c:pt idx="769">
                  <c:v>-11.002984493500021</c:v>
                </c:pt>
                <c:pt idx="770">
                  <c:v>-11.013027695580169</c:v>
                </c:pt>
                <c:pt idx="771">
                  <c:v>-11.023070901088333</c:v>
                </c:pt>
                <c:pt idx="772">
                  <c:v>-11.033114110024355</c:v>
                </c:pt>
                <c:pt idx="773">
                  <c:v>-11.04315732238808</c:v>
                </c:pt>
                <c:pt idx="774">
                  <c:v>-11.053200538179349</c:v>
                </c:pt>
                <c:pt idx="775">
                  <c:v>-11.063243757398004</c:v>
                </c:pt>
                <c:pt idx="776">
                  <c:v>-11.073286980043889</c:v>
                </c:pt>
                <c:pt idx="777">
                  <c:v>-11.083330206116848</c:v>
                </c:pt>
                <c:pt idx="778">
                  <c:v>-11.093373435616723</c:v>
                </c:pt>
                <c:pt idx="779">
                  <c:v>-11.103416668543357</c:v>
                </c:pt>
                <c:pt idx="780">
                  <c:v>-11.113459904896592</c:v>
                </c:pt>
                <c:pt idx="781">
                  <c:v>-11.123503144676272</c:v>
                </c:pt>
                <c:pt idx="782">
                  <c:v>-11.133546387882241</c:v>
                </c:pt>
                <c:pt idx="783">
                  <c:v>-11.14358963451434</c:v>
                </c:pt>
                <c:pt idx="784">
                  <c:v>-11.153632884572412</c:v>
                </c:pt>
                <c:pt idx="785">
                  <c:v>-11.163676138056299</c:v>
                </c:pt>
                <c:pt idx="786">
                  <c:v>-11.173719394965847</c:v>
                </c:pt>
                <c:pt idx="787">
                  <c:v>-11.183762655300898</c:v>
                </c:pt>
                <c:pt idx="788">
                  <c:v>-11.193805919061292</c:v>
                </c:pt>
                <c:pt idx="789">
                  <c:v>-11.203849186246876</c:v>
                </c:pt>
                <c:pt idx="790">
                  <c:v>-11.21389245685749</c:v>
                </c:pt>
                <c:pt idx="791">
                  <c:v>-11.223935730892979</c:v>
                </c:pt>
                <c:pt idx="792">
                  <c:v>-11.233979008353185</c:v>
                </c:pt>
                <c:pt idx="793">
                  <c:v>-11.24402228923795</c:v>
                </c:pt>
                <c:pt idx="794">
                  <c:v>-11.254065573547118</c:v>
                </c:pt>
                <c:pt idx="795">
                  <c:v>-11.264108861280532</c:v>
                </c:pt>
                <c:pt idx="796">
                  <c:v>-11.274152152438035</c:v>
                </c:pt>
                <c:pt idx="797">
                  <c:v>-11.284195447019469</c:v>
                </c:pt>
                <c:pt idx="798">
                  <c:v>-11.294238745024678</c:v>
                </c:pt>
                <c:pt idx="799">
                  <c:v>-11.304282046453505</c:v>
                </c:pt>
                <c:pt idx="800">
                  <c:v>-11.314325351305792</c:v>
                </c:pt>
                <c:pt idx="801">
                  <c:v>-11.324368659581383</c:v>
                </c:pt>
                <c:pt idx="802">
                  <c:v>-11.334411971280121</c:v>
                </c:pt>
                <c:pt idx="803">
                  <c:v>-11.344455286401848</c:v>
                </c:pt>
                <c:pt idx="804">
                  <c:v>-11.354498604946407</c:v>
                </c:pt>
                <c:pt idx="805">
                  <c:v>-11.364541926913642</c:v>
                </c:pt>
                <c:pt idx="806">
                  <c:v>-11.374585252303396</c:v>
                </c:pt>
                <c:pt idx="807">
                  <c:v>-11.384628581115511</c:v>
                </c:pt>
                <c:pt idx="808">
                  <c:v>-11.39467191334983</c:v>
                </c:pt>
                <c:pt idx="809">
                  <c:v>-11.404715249006196</c:v>
                </c:pt>
                <c:pt idx="810">
                  <c:v>-11.414758588084453</c:v>
                </c:pt>
                <c:pt idx="811">
                  <c:v>-11.424801930584444</c:v>
                </c:pt>
                <c:pt idx="812">
                  <c:v>-11.43484527650601</c:v>
                </c:pt>
                <c:pt idx="813">
                  <c:v>-11.444888625848996</c:v>
                </c:pt>
                <c:pt idx="814">
                  <c:v>-11.454931978613244</c:v>
                </c:pt>
                <c:pt idx="815">
                  <c:v>-11.464975334798599</c:v>
                </c:pt>
                <c:pt idx="816">
                  <c:v>-11.4750186944049</c:v>
                </c:pt>
                <c:pt idx="817">
                  <c:v>-11.485062057431994</c:v>
                </c:pt>
                <c:pt idx="818">
                  <c:v>-11.495105423879723</c:v>
                </c:pt>
                <c:pt idx="819">
                  <c:v>-11.505148793747928</c:v>
                </c:pt>
                <c:pt idx="820">
                  <c:v>-11.515192167036453</c:v>
                </c:pt>
                <c:pt idx="821">
                  <c:v>-11.525235543745142</c:v>
                </c:pt>
                <c:pt idx="822">
                  <c:v>-11.535278923873838</c:v>
                </c:pt>
                <c:pt idx="823">
                  <c:v>-11.545322307422383</c:v>
                </c:pt>
                <c:pt idx="824">
                  <c:v>-11.555365694390622</c:v>
                </c:pt>
                <c:pt idx="825">
                  <c:v>-11.565409084778395</c:v>
                </c:pt>
                <c:pt idx="826">
                  <c:v>-11.575452478585547</c:v>
                </c:pt>
                <c:pt idx="827">
                  <c:v>-11.585495875811921</c:v>
                </c:pt>
                <c:pt idx="828">
                  <c:v>-11.595539276457359</c:v>
                </c:pt>
                <c:pt idx="829">
                  <c:v>-11.605582680521705</c:v>
                </c:pt>
                <c:pt idx="830">
                  <c:v>-11.615626088004802</c:v>
                </c:pt>
                <c:pt idx="831">
                  <c:v>-11.625669498906493</c:v>
                </c:pt>
                <c:pt idx="832">
                  <c:v>-11.635712913226621</c:v>
                </c:pt>
                <c:pt idx="833">
                  <c:v>-11.645756330965028</c:v>
                </c:pt>
                <c:pt idx="834">
                  <c:v>-11.655799752121558</c:v>
                </c:pt>
                <c:pt idx="835">
                  <c:v>-11.665843176696054</c:v>
                </c:pt>
                <c:pt idx="836">
                  <c:v>-11.67588660468836</c:v>
                </c:pt>
                <c:pt idx="837">
                  <c:v>-11.685930036098318</c:v>
                </c:pt>
                <c:pt idx="838">
                  <c:v>-11.695973470925772</c:v>
                </c:pt>
                <c:pt idx="839">
                  <c:v>-11.706016909170563</c:v>
                </c:pt>
                <c:pt idx="840">
                  <c:v>-11.716060350832535</c:v>
                </c:pt>
                <c:pt idx="841">
                  <c:v>-11.726103795911532</c:v>
                </c:pt>
                <c:pt idx="842">
                  <c:v>-11.736147244407396</c:v>
                </c:pt>
                <c:pt idx="843">
                  <c:v>-11.746190696319971</c:v>
                </c:pt>
                <c:pt idx="844">
                  <c:v>-11.7562341516491</c:v>
                </c:pt>
                <c:pt idx="845">
                  <c:v>-11.766277610394624</c:v>
                </c:pt>
                <c:pt idx="846">
                  <c:v>-11.776321072556389</c:v>
                </c:pt>
                <c:pt idx="847">
                  <c:v>-11.786364538134237</c:v>
                </c:pt>
                <c:pt idx="848">
                  <c:v>-11.79640800712801</c:v>
                </c:pt>
                <c:pt idx="849">
                  <c:v>-11.806451479537554</c:v>
                </c:pt>
                <c:pt idx="850">
                  <c:v>-11.816494955362709</c:v>
                </c:pt>
                <c:pt idx="851">
                  <c:v>-11.82653843460332</c:v>
                </c:pt>
                <c:pt idx="852">
                  <c:v>-11.836581917259229</c:v>
                </c:pt>
                <c:pt idx="853">
                  <c:v>-11.846625403330279</c:v>
                </c:pt>
                <c:pt idx="854">
                  <c:v>-11.856668892816314</c:v>
                </c:pt>
                <c:pt idx="855">
                  <c:v>-11.866712385717177</c:v>
                </c:pt>
                <c:pt idx="856">
                  <c:v>-11.876755882032711</c:v>
                </c:pt>
                <c:pt idx="857">
                  <c:v>-11.886799381762758</c:v>
                </c:pt>
                <c:pt idx="858">
                  <c:v>-11.896842884907162</c:v>
                </c:pt>
                <c:pt idx="859">
                  <c:v>-11.906886391465767</c:v>
                </c:pt>
                <c:pt idx="860">
                  <c:v>-11.916929901438415</c:v>
                </c:pt>
                <c:pt idx="861">
                  <c:v>-11.92697341482495</c:v>
                </c:pt>
                <c:pt idx="862">
                  <c:v>-11.937016931625214</c:v>
                </c:pt>
                <c:pt idx="863">
                  <c:v>-11.94706045183905</c:v>
                </c:pt>
                <c:pt idx="864">
                  <c:v>-11.957103975466303</c:v>
                </c:pt>
                <c:pt idx="865">
                  <c:v>-11.967147502506815</c:v>
                </c:pt>
                <c:pt idx="866">
                  <c:v>-11.977191032960429</c:v>
                </c:pt>
                <c:pt idx="867">
                  <c:v>-11.987234566826988</c:v>
                </c:pt>
                <c:pt idx="868">
                  <c:v>-11.997278104106336</c:v>
                </c:pt>
                <c:pt idx="869">
                  <c:v>-12.007321644798314</c:v>
                </c:pt>
                <c:pt idx="870">
                  <c:v>-12.017365188902767</c:v>
                </c:pt>
                <c:pt idx="871">
                  <c:v>-12.027408736419538</c:v>
                </c:pt>
                <c:pt idx="872">
                  <c:v>-12.03745228734847</c:v>
                </c:pt>
                <c:pt idx="873">
                  <c:v>-12.047495841689406</c:v>
                </c:pt>
                <c:pt idx="874">
                  <c:v>-12.05753939944219</c:v>
                </c:pt>
                <c:pt idx="875">
                  <c:v>-12.067582960606664</c:v>
                </c:pt>
                <c:pt idx="876">
                  <c:v>-12.077626525182671</c:v>
                </c:pt>
                <c:pt idx="877">
                  <c:v>-12.087670093170056</c:v>
                </c:pt>
                <c:pt idx="878">
                  <c:v>-12.09771366456866</c:v>
                </c:pt>
                <c:pt idx="879">
                  <c:v>-12.107757239378328</c:v>
                </c:pt>
                <c:pt idx="880">
                  <c:v>-12.117800817598901</c:v>
                </c:pt>
                <c:pt idx="881">
                  <c:v>-12.127844399230225</c:v>
                </c:pt>
                <c:pt idx="882">
                  <c:v>-12.137887984272142</c:v>
                </c:pt>
                <c:pt idx="883">
                  <c:v>-12.147931572724493</c:v>
                </c:pt>
                <c:pt idx="884">
                  <c:v>-12.157975164587125</c:v>
                </c:pt>
                <c:pt idx="885">
                  <c:v>-12.168018759859878</c:v>
                </c:pt>
                <c:pt idx="886">
                  <c:v>-12.178062358542597</c:v>
                </c:pt>
                <c:pt idx="887">
                  <c:v>-12.188105960635124</c:v>
                </c:pt>
                <c:pt idx="888">
                  <c:v>-12.198149566137303</c:v>
                </c:pt>
                <c:pt idx="889">
                  <c:v>-12.208193175048978</c:v>
                </c:pt>
                <c:pt idx="890">
                  <c:v>-12.218236787369989</c:v>
                </c:pt>
                <c:pt idx="891">
                  <c:v>-12.228280403100182</c:v>
                </c:pt>
                <c:pt idx="892">
                  <c:v>-12.2383240222394</c:v>
                </c:pt>
                <c:pt idx="893">
                  <c:v>-12.248367644787486</c:v>
                </c:pt>
                <c:pt idx="894">
                  <c:v>-12.258411270744283</c:v>
                </c:pt>
                <c:pt idx="895">
                  <c:v>-12.268454900109633</c:v>
                </c:pt>
                <c:pt idx="896">
                  <c:v>-12.278498532883383</c:v>
                </c:pt>
                <c:pt idx="897">
                  <c:v>-12.288542169065373</c:v>
                </c:pt>
                <c:pt idx="898">
                  <c:v>-12.298585808655446</c:v>
                </c:pt>
                <c:pt idx="899">
                  <c:v>-12.308629451653447</c:v>
                </c:pt>
                <c:pt idx="900">
                  <c:v>-12.318673098059218</c:v>
                </c:pt>
                <c:pt idx="901">
                  <c:v>-12.328716747872603</c:v>
                </c:pt>
                <c:pt idx="902">
                  <c:v>-12.338760401093444</c:v>
                </c:pt>
                <c:pt idx="903">
                  <c:v>-12.348804057721585</c:v>
                </c:pt>
                <c:pt idx="904">
                  <c:v>-12.35884771775687</c:v>
                </c:pt>
                <c:pt idx="905">
                  <c:v>-12.368891381199141</c:v>
                </c:pt>
                <c:pt idx="906">
                  <c:v>-12.378935048048243</c:v>
                </c:pt>
                <c:pt idx="907">
                  <c:v>-12.388978718304017</c:v>
                </c:pt>
                <c:pt idx="908">
                  <c:v>-12.399022391966307</c:v>
                </c:pt>
                <c:pt idx="909">
                  <c:v>-12.409066069034957</c:v>
                </c:pt>
                <c:pt idx="910">
                  <c:v>-12.41910974950981</c:v>
                </c:pt>
                <c:pt idx="911">
                  <c:v>-12.429153433390708</c:v>
                </c:pt>
                <c:pt idx="912">
                  <c:v>-12.439197120677495</c:v>
                </c:pt>
                <c:pt idx="913">
                  <c:v>-12.449240811370014</c:v>
                </c:pt>
                <c:pt idx="914">
                  <c:v>-12.45928450546811</c:v>
                </c:pt>
                <c:pt idx="915">
                  <c:v>-12.469328202971626</c:v>
                </c:pt>
                <c:pt idx="916">
                  <c:v>-12.479371903880404</c:v>
                </c:pt>
                <c:pt idx="917">
                  <c:v>-12.489415608194287</c:v>
                </c:pt>
                <c:pt idx="918">
                  <c:v>-12.49945931591312</c:v>
                </c:pt>
                <c:pt idx="919">
                  <c:v>-12.509503027036745</c:v>
                </c:pt>
                <c:pt idx="920">
                  <c:v>-12.519546741565005</c:v>
                </c:pt>
                <c:pt idx="921">
                  <c:v>-12.529590459497744</c:v>
                </c:pt>
                <c:pt idx="922">
                  <c:v>-12.539634180834804</c:v>
                </c:pt>
                <c:pt idx="923">
                  <c:v>-12.549677905576031</c:v>
                </c:pt>
                <c:pt idx="924">
                  <c:v>-12.559721633721265</c:v>
                </c:pt>
                <c:pt idx="925">
                  <c:v>-12.569765365270353</c:v>
                </c:pt>
                <c:pt idx="926">
                  <c:v>-12.579809100223136</c:v>
                </c:pt>
                <c:pt idx="927">
                  <c:v>-12.589852838579455</c:v>
                </c:pt>
                <c:pt idx="928">
                  <c:v>-12.599896580339157</c:v>
                </c:pt>
                <c:pt idx="929">
                  <c:v>-12.609940325502086</c:v>
                </c:pt>
                <c:pt idx="930">
                  <c:v>-12.619984074068082</c:v>
                </c:pt>
                <c:pt idx="931">
                  <c:v>-12.63002782603699</c:v>
                </c:pt>
                <c:pt idx="932">
                  <c:v>-12.640071581408654</c:v>
                </c:pt>
                <c:pt idx="933">
                  <c:v>-12.650115340182914</c:v>
                </c:pt>
                <c:pt idx="934">
                  <c:v>-12.660159102359618</c:v>
                </c:pt>
                <c:pt idx="935">
                  <c:v>-12.670202867938606</c:v>
                </c:pt>
                <c:pt idx="936">
                  <c:v>-12.680246636919723</c:v>
                </c:pt>
                <c:pt idx="937">
                  <c:v>-12.690290409302811</c:v>
                </c:pt>
                <c:pt idx="938">
                  <c:v>-12.700334185087714</c:v>
                </c:pt>
                <c:pt idx="939">
                  <c:v>-12.710377964274276</c:v>
                </c:pt>
                <c:pt idx="940">
                  <c:v>-12.720421746862339</c:v>
                </c:pt>
                <c:pt idx="941">
                  <c:v>-12.730465532851747</c:v>
                </c:pt>
                <c:pt idx="942">
                  <c:v>-12.740509322242344</c:v>
                </c:pt>
                <c:pt idx="943">
                  <c:v>-12.750553115033972</c:v>
                </c:pt>
                <c:pt idx="944">
                  <c:v>-12.760596911226475</c:v>
                </c:pt>
                <c:pt idx="945">
                  <c:v>-12.770640710819697</c:v>
                </c:pt>
                <c:pt idx="946">
                  <c:v>-12.78068451381348</c:v>
                </c:pt>
                <c:pt idx="947">
                  <c:v>-12.790728320207668</c:v>
                </c:pt>
                <c:pt idx="948">
                  <c:v>-12.800772130002104</c:v>
                </c:pt>
                <c:pt idx="949">
                  <c:v>-12.810815943196632</c:v>
                </c:pt>
                <c:pt idx="950">
                  <c:v>-12.820859759791094</c:v>
                </c:pt>
                <c:pt idx="951">
                  <c:v>-12.830903579785335</c:v>
                </c:pt>
                <c:pt idx="952">
                  <c:v>-12.840947403179198</c:v>
                </c:pt>
                <c:pt idx="953">
                  <c:v>-12.850991229972527</c:v>
                </c:pt>
                <c:pt idx="954">
                  <c:v>-12.861035060165165</c:v>
                </c:pt>
                <c:pt idx="955">
                  <c:v>-12.871078893756954</c:v>
                </c:pt>
                <c:pt idx="956">
                  <c:v>-12.881122730747739</c:v>
                </c:pt>
                <c:pt idx="957">
                  <c:v>-12.891166571137363</c:v>
                </c:pt>
                <c:pt idx="958">
                  <c:v>-12.90121041492567</c:v>
                </c:pt>
                <c:pt idx="959">
                  <c:v>-12.9112542621125</c:v>
                </c:pt>
                <c:pt idx="960">
                  <c:v>-12.9212981126977</c:v>
                </c:pt>
                <c:pt idx="961">
                  <c:v>-12.931341966681112</c:v>
                </c:pt>
                <c:pt idx="962">
                  <c:v>-12.94138582406258</c:v>
                </c:pt>
                <c:pt idx="963">
                  <c:v>-12.951429684841948</c:v>
                </c:pt>
                <c:pt idx="964">
                  <c:v>-12.961473549019058</c:v>
                </c:pt>
                <c:pt idx="965">
                  <c:v>-12.971517416593752</c:v>
                </c:pt>
                <c:pt idx="966">
                  <c:v>-12.981561287565876</c:v>
                </c:pt>
                <c:pt idx="967">
                  <c:v>-12.991605161935274</c:v>
                </c:pt>
                <c:pt idx="968">
                  <c:v>-13.001649039701787</c:v>
                </c:pt>
                <c:pt idx="969">
                  <c:v>-13.01169292086526</c:v>
                </c:pt>
                <c:pt idx="970">
                  <c:v>-13.021736805425535</c:v>
                </c:pt>
                <c:pt idx="971">
                  <c:v>-13.031780693382457</c:v>
                </c:pt>
                <c:pt idx="972">
                  <c:v>-13.041824584735869</c:v>
                </c:pt>
                <c:pt idx="973">
                  <c:v>-13.051868479485613</c:v>
                </c:pt>
                <c:pt idx="974">
                  <c:v>-13.061912377631534</c:v>
                </c:pt>
                <c:pt idx="975">
                  <c:v>-13.071956279173476</c:v>
                </c:pt>
                <c:pt idx="976">
                  <c:v>-13.08200018411128</c:v>
                </c:pt>
                <c:pt idx="977">
                  <c:v>-13.092044092444791</c:v>
                </c:pt>
                <c:pt idx="978">
                  <c:v>-13.102088004173853</c:v>
                </c:pt>
                <c:pt idx="979">
                  <c:v>-13.112131919298308</c:v>
                </c:pt>
                <c:pt idx="980">
                  <c:v>-13.122175837818</c:v>
                </c:pt>
                <c:pt idx="981">
                  <c:v>-13.132219759732774</c:v>
                </c:pt>
                <c:pt idx="982">
                  <c:v>-13.142263685042471</c:v>
                </c:pt>
                <c:pt idx="983">
                  <c:v>-13.152307613746935</c:v>
                </c:pt>
                <c:pt idx="984">
                  <c:v>-13.162351545846009</c:v>
                </c:pt>
                <c:pt idx="985">
                  <c:v>-13.172395481339539</c:v>
                </c:pt>
                <c:pt idx="986">
                  <c:v>-13.182439420227366</c:v>
                </c:pt>
                <c:pt idx="987">
                  <c:v>-13.192483362509336</c:v>
                </c:pt>
                <c:pt idx="988">
                  <c:v>-13.202527308185289</c:v>
                </c:pt>
                <c:pt idx="989">
                  <c:v>-13.212571257255071</c:v>
                </c:pt>
                <c:pt idx="990">
                  <c:v>-13.222615209718525</c:v>
                </c:pt>
                <c:pt idx="991">
                  <c:v>-13.232659165575493</c:v>
                </c:pt>
                <c:pt idx="992">
                  <c:v>-13.24270312482582</c:v>
                </c:pt>
                <c:pt idx="993">
                  <c:v>-13.252747087469348</c:v>
                </c:pt>
                <c:pt idx="994">
                  <c:v>-13.262791053505923</c:v>
                </c:pt>
                <c:pt idx="995">
                  <c:v>-13.272835022935388</c:v>
                </c:pt>
                <c:pt idx="996">
                  <c:v>-13.282878995757585</c:v>
                </c:pt>
                <c:pt idx="997">
                  <c:v>-13.292922971972358</c:v>
                </c:pt>
                <c:pt idx="998">
                  <c:v>-13.302966951579551</c:v>
                </c:pt>
                <c:pt idx="999">
                  <c:v>-13.313010934579006</c:v>
                </c:pt>
                <c:pt idx="1000">
                  <c:v>-13.323054920970568</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100.55190764607381</c:v>
                </c:pt>
                <c:pt idx="1">
                  <c:v>100.92604032284854</c:v>
                </c:pt>
                <c:pt idx="2">
                  <c:v>101.30056185187142</c:v>
                </c:pt>
                <c:pt idx="3">
                  <c:v>101.67615520798351</c:v>
                </c:pt>
                <c:pt idx="4">
                  <c:v>102.05294395472689</c:v>
                </c:pt>
                <c:pt idx="5">
                  <c:v>102.43080894283966</c:v>
                </c:pt>
                <c:pt idx="6">
                  <c:v>102.80970501910835</c:v>
                </c:pt>
                <c:pt idx="7">
                  <c:v>103.18962403209747</c:v>
                </c:pt>
                <c:pt idx="8">
                  <c:v>103.57055783392802</c:v>
                </c:pt>
                <c:pt idx="9">
                  <c:v>103.95249828051944</c:v>
                </c:pt>
                <c:pt idx="10">
                  <c:v>104.33543723182839</c:v>
                </c:pt>
                <c:pt idx="11">
                  <c:v>104.71936655208435</c:v>
                </c:pt>
                <c:pt idx="12">
                  <c:v>105.10427811002194</c:v>
                </c:pt>
                <c:pt idx="13">
                  <c:v>105.49016377911016</c:v>
                </c:pt>
                <c:pt idx="14">
                  <c:v>105.8770154377785</c:v>
                </c:pt>
                <c:pt idx="15">
                  <c:v>106.26482496963975</c:v>
                </c:pt>
                <c:pt idx="16">
                  <c:v>106.65358426370982</c:v>
                </c:pt>
                <c:pt idx="17">
                  <c:v>107.04328521462438</c:v>
                </c:pt>
                <c:pt idx="18">
                  <c:v>107.43391972285235</c:v>
                </c:pt>
                <c:pt idx="19">
                  <c:v>107.82547969490638</c:v>
                </c:pt>
                <c:pt idx="20">
                  <c:v>108.21795704355014</c:v>
                </c:pt>
                <c:pt idx="21">
                  <c:v>108.61134368800262</c:v>
                </c:pt>
                <c:pt idx="22">
                  <c:v>109.00563155413931</c:v>
                </c:pt>
                <c:pt idx="23">
                  <c:v>109.40081257469038</c:v>
                </c:pt>
                <c:pt idx="24">
                  <c:v>109.79687868943574</c:v>
                </c:pt>
                <c:pt idx="25">
                  <c:v>110.19382184539721</c:v>
                </c:pt>
                <c:pt idx="26">
                  <c:v>110.59163399702757</c:v>
                </c:pt>
                <c:pt idx="27">
                  <c:v>110.99030710639666</c:v>
                </c:pt>
                <c:pt idx="28">
                  <c:v>111.38983314337447</c:v>
                </c:pt>
                <c:pt idx="29">
                  <c:v>111.79020408581137</c:v>
                </c:pt>
                <c:pt idx="30">
                  <c:v>112.19141191971519</c:v>
                </c:pt>
                <c:pt idx="31">
                  <c:v>112.59344863942562</c:v>
                </c:pt>
                <c:pt idx="32">
                  <c:v>112.9963062477854</c:v>
                </c:pt>
                <c:pt idx="33">
                  <c:v>113.39997675630889</c:v>
                </c:pt>
                <c:pt idx="34">
                  <c:v>113.80445218534751</c:v>
                </c:pt>
                <c:pt idx="35">
                  <c:v>114.20972456425248</c:v>
                </c:pt>
                <c:pt idx="36">
                  <c:v>114.61578593153457</c:v>
                </c:pt>
                <c:pt idx="37">
                  <c:v>115.02262833502108</c:v>
                </c:pt>
                <c:pt idx="38">
                  <c:v>115.43024383200995</c:v>
                </c:pt>
                <c:pt idx="39">
                  <c:v>115.83862448942109</c:v>
                </c:pt>
                <c:pt idx="40">
                  <c:v>116.2477623839449</c:v>
                </c:pt>
                <c:pt idx="41">
                  <c:v>116.65764960218796</c:v>
                </c:pt>
                <c:pt idx="42">
                  <c:v>117.06827824081603</c:v>
                </c:pt>
                <c:pt idx="43">
                  <c:v>117.47964040669426</c:v>
                </c:pt>
                <c:pt idx="44">
                  <c:v>117.89172821702464</c:v>
                </c:pt>
                <c:pt idx="45">
                  <c:v>118.30453379948078</c:v>
                </c:pt>
                <c:pt idx="46">
                  <c:v>118.71804929233997</c:v>
                </c:pt>
                <c:pt idx="47">
                  <c:v>119.13226684461254</c:v>
                </c:pt>
                <c:pt idx="48">
                  <c:v>119.54717861616859</c:v>
                </c:pt>
                <c:pt idx="49">
                  <c:v>119.962776777862</c:v>
                </c:pt>
                <c:pt idx="50">
                  <c:v>120.3790535116519</c:v>
                </c:pt>
                <c:pt idx="51">
                  <c:v>120.79600101072143</c:v>
                </c:pt>
                <c:pt idx="52">
                  <c:v>121.21361147959395</c:v>
                </c:pt>
                <c:pt idx="53">
                  <c:v>121.63187713424669</c:v>
                </c:pt>
                <c:pt idx="54">
                  <c:v>122.05079020222178</c:v>
                </c:pt>
                <c:pt idx="55">
                  <c:v>122.47034292273473</c:v>
                </c:pt>
                <c:pt idx="56">
                  <c:v>122.89052754678043</c:v>
                </c:pt>
                <c:pt idx="57">
                  <c:v>123.31133633723663</c:v>
                </c:pt>
                <c:pt idx="58">
                  <c:v>123.73276156896485</c:v>
                </c:pt>
                <c:pt idx="59">
                  <c:v>124.15479552890891</c:v>
                </c:pt>
                <c:pt idx="60">
                  <c:v>124.5774305161909</c:v>
                </c:pt>
                <c:pt idx="61">
                  <c:v>125.00065884220486</c:v>
                </c:pt>
                <c:pt idx="62">
                  <c:v>125.42447283070778</c:v>
                </c:pt>
                <c:pt idx="63">
                  <c:v>125.84886149391824</c:v>
                </c:pt>
                <c:pt idx="64">
                  <c:v>126.27380721150455</c:v>
                </c:pt>
                <c:pt idx="65">
                  <c:v>126.69928906589641</c:v>
                </c:pt>
                <c:pt idx="66">
                  <c:v>127.12528617486321</c:v>
                </c:pt>
                <c:pt idx="67">
                  <c:v>127.55177463823554</c:v>
                </c:pt>
                <c:pt idx="68">
                  <c:v>127.97872448764024</c:v>
                </c:pt>
                <c:pt idx="69">
                  <c:v>128.4060973144752</c:v>
                </c:pt>
                <c:pt idx="70">
                  <c:v>128.83384390104194</c:v>
                </c:pt>
                <c:pt idx="71">
                  <c:v>129.2619096789256</c:v>
                </c:pt>
                <c:pt idx="72">
                  <c:v>129.69024018201853</c:v>
                </c:pt>
                <c:pt idx="73">
                  <c:v>130.11878104850328</c:v>
                </c:pt>
                <c:pt idx="74">
                  <c:v>130.5474780227371</c:v>
                </c:pt>
                <c:pt idx="75">
                  <c:v>130.97627695703846</c:v>
                </c:pt>
                <c:pt idx="76">
                  <c:v>131.4051238133766</c:v>
                </c:pt>
                <c:pt idx="77">
                  <c:v>131.83396466496453</c:v>
                </c:pt>
                <c:pt idx="78">
                  <c:v>132.26274569775643</c:v>
                </c:pt>
                <c:pt idx="79">
                  <c:v>132.69141321185018</c:v>
                </c:pt>
                <c:pt idx="80">
                  <c:v>133.11991362279562</c:v>
                </c:pt>
                <c:pt idx="81">
                  <c:v>133.54819997112764</c:v>
                </c:pt>
                <c:pt idx="82">
                  <c:v>133.97623842075626</c:v>
                </c:pt>
                <c:pt idx="83">
                  <c:v>134.40400172147773</c:v>
                </c:pt>
                <c:pt idx="84">
                  <c:v>134.83146268199144</c:v>
                </c:pt>
                <c:pt idx="85">
                  <c:v>135.25859416987581</c:v>
                </c:pt>
                <c:pt idx="86">
                  <c:v>135.68536911154206</c:v>
                </c:pt>
                <c:pt idx="87">
                  <c:v>136.1117604921661</c:v>
                </c:pt>
                <c:pt idx="88">
                  <c:v>136.53774135559871</c:v>
                </c:pt>
                <c:pt idx="89">
                  <c:v>136.96328686902487</c:v>
                </c:pt>
                <c:pt idx="90">
                  <c:v>137.3883763838366</c:v>
                </c:pt>
                <c:pt idx="91">
                  <c:v>137.8129913608669</c:v>
                </c:pt>
                <c:pt idx="92">
                  <c:v>138.23711329934775</c:v>
                </c:pt>
                <c:pt idx="93">
                  <c:v>138.6607242540052</c:v>
                </c:pt>
                <c:pt idx="94">
                  <c:v>139.08380735118584</c:v>
                </c:pt>
                <c:pt idx="95">
                  <c:v>139.50634626880674</c:v>
                </c:pt>
                <c:pt idx="96">
                  <c:v>139.92832471726067</c:v>
                </c:pt>
                <c:pt idx="97">
                  <c:v>140.34972851287969</c:v>
                </c:pt>
                <c:pt idx="98">
                  <c:v>140.77054764750375</c:v>
                </c:pt>
                <c:pt idx="99">
                  <c:v>141.1907742045525</c:v>
                </c:pt>
                <c:pt idx="100">
                  <c:v>141.61040027903402</c:v>
                </c:pt>
                <c:pt idx="101">
                  <c:v>142.02941797737574</c:v>
                </c:pt>
                <c:pt idx="102">
                  <c:v>142.44781941725401</c:v>
                </c:pt>
                <c:pt idx="103">
                  <c:v>142.86559672742277</c:v>
                </c:pt>
                <c:pt idx="104">
                  <c:v>143.28274204754115</c:v>
                </c:pt>
                <c:pt idx="105">
                  <c:v>143.69924752799989</c:v>
                </c:pt>
                <c:pt idx="106">
                  <c:v>144.11510532974677</c:v>
                </c:pt>
                <c:pt idx="107">
                  <c:v>144.53030762411097</c:v>
                </c:pt>
                <c:pt idx="108">
                  <c:v>144.94484659262636</c:v>
                </c:pt>
                <c:pt idx="109">
                  <c:v>145.35871703526783</c:v>
                </c:pt>
                <c:pt idx="110">
                  <c:v>145.77191897388084</c:v>
                </c:pt>
                <c:pt idx="111">
                  <c:v>146.18445503137644</c:v>
                </c:pt>
                <c:pt idx="112">
                  <c:v>146.59632781587854</c:v>
                </c:pt>
                <c:pt idx="113">
                  <c:v>147.00753992083642</c:v>
                </c:pt>
                <c:pt idx="114">
                  <c:v>147.41809392513633</c:v>
                </c:pt>
                <c:pt idx="115">
                  <c:v>147.82799239321179</c:v>
                </c:pt>
                <c:pt idx="116">
                  <c:v>148.237237875153</c:v>
                </c:pt>
                <c:pt idx="117">
                  <c:v>148.64583290681523</c:v>
                </c:pt>
                <c:pt idx="118">
                  <c:v>149.0537800099261</c:v>
                </c:pt>
                <c:pt idx="119">
                  <c:v>149.46108169219184</c:v>
                </c:pt>
                <c:pt idx="120">
                  <c:v>149.8677404474027</c:v>
                </c:pt>
                <c:pt idx="121">
                  <c:v>150.2737587555371</c:v>
                </c:pt>
                <c:pt idx="122">
                  <c:v>150.67913908286516</c:v>
                </c:pt>
                <c:pt idx="123">
                  <c:v>151.08388388205091</c:v>
                </c:pt>
                <c:pt idx="124">
                  <c:v>151.48799559225375</c:v>
                </c:pt>
                <c:pt idx="125">
                  <c:v>151.89147663922896</c:v>
                </c:pt>
                <c:pt idx="126">
                  <c:v>152.29432943542716</c:v>
                </c:pt>
                <c:pt idx="127">
                  <c:v>152.69655638009294</c:v>
                </c:pt>
                <c:pt idx="128">
                  <c:v>153.09815985936257</c:v>
                </c:pt>
                <c:pt idx="129">
                  <c:v>153.49914224636075</c:v>
                </c:pt>
                <c:pt idx="130">
                  <c:v>153.89950590129652</c:v>
                </c:pt>
                <c:pt idx="131">
                  <c:v>154.29925317155826</c:v>
                </c:pt>
                <c:pt idx="132">
                  <c:v>154.69838639180787</c:v>
                </c:pt>
                <c:pt idx="133">
                  <c:v>155.09690788407394</c:v>
                </c:pt>
                <c:pt idx="134">
                  <c:v>155.49481995784427</c:v>
                </c:pt>
                <c:pt idx="135">
                  <c:v>155.89212491015735</c:v>
                </c:pt>
                <c:pt idx="136">
                  <c:v>156.28882502569311</c:v>
                </c:pt>
                <c:pt idx="137">
                  <c:v>156.68492257686287</c:v>
                </c:pt>
                <c:pt idx="138">
                  <c:v>157.08041982389841</c:v>
                </c:pt>
                <c:pt idx="139">
                  <c:v>157.47531901494017</c:v>
                </c:pt>
                <c:pt idx="140">
                  <c:v>157.8696223861248</c:v>
                </c:pt>
                <c:pt idx="141">
                  <c:v>158.26333216167188</c:v>
                </c:pt>
                <c:pt idx="142">
                  <c:v>158.65645055396971</c:v>
                </c:pt>
                <c:pt idx="143">
                  <c:v>159.04897976366047</c:v>
                </c:pt>
                <c:pt idx="144">
                  <c:v>159.44092197972466</c:v>
                </c:pt>
                <c:pt idx="145">
                  <c:v>159.83227937956462</c:v>
                </c:pt>
                <c:pt idx="146">
                  <c:v>160.22305412908739</c:v>
                </c:pt>
                <c:pt idx="147">
                  <c:v>160.61324838278682</c:v>
                </c:pt>
                <c:pt idx="148">
                  <c:v>161.00286428382501</c:v>
                </c:pt>
                <c:pt idx="149">
                  <c:v>161.39190396411283</c:v>
                </c:pt>
                <c:pt idx="150">
                  <c:v>161.78036954438997</c:v>
                </c:pt>
                <c:pt idx="151">
                  <c:v>162.16826313430411</c:v>
                </c:pt>
                <c:pt idx="152">
                  <c:v>162.55558683248947</c:v>
                </c:pt>
                <c:pt idx="153">
                  <c:v>162.9423427266446</c:v>
                </c:pt>
                <c:pt idx="154">
                  <c:v>163.32853289360952</c:v>
                </c:pt>
                <c:pt idx="155">
                  <c:v>163.71415939944217</c:v>
                </c:pt>
                <c:pt idx="156">
                  <c:v>164.09922429949424</c:v>
                </c:pt>
                <c:pt idx="157">
                  <c:v>164.48372963848624</c:v>
                </c:pt>
                <c:pt idx="158">
                  <c:v>164.86767745058194</c:v>
                </c:pt>
                <c:pt idx="159">
                  <c:v>165.25106975946221</c:v>
                </c:pt>
                <c:pt idx="160">
                  <c:v>165.63390857839821</c:v>
                </c:pt>
                <c:pt idx="161">
                  <c:v>166.0161959103238</c:v>
                </c:pt>
                <c:pt idx="162">
                  <c:v>166.39793374790756</c:v>
                </c:pt>
                <c:pt idx="163">
                  <c:v>166.77912407362393</c:v>
                </c:pt>
                <c:pt idx="164">
                  <c:v>167.15976885982394</c:v>
                </c:pt>
                <c:pt idx="165">
                  <c:v>167.53987006880521</c:v>
                </c:pt>
                <c:pt idx="166">
                  <c:v>167.9194296528814</c:v>
                </c:pt>
                <c:pt idx="167">
                  <c:v>168.298449554451</c:v>
                </c:pt>
                <c:pt idx="168">
                  <c:v>168.67693170606557</c:v>
                </c:pt>
                <c:pt idx="169">
                  <c:v>169.05487803049741</c:v>
                </c:pt>
                <c:pt idx="170">
                  <c:v>169.43229044080658</c:v>
                </c:pt>
                <c:pt idx="171">
                  <c:v>169.80917084040746</c:v>
                </c:pt>
                <c:pt idx="172">
                  <c:v>170.18552112313461</c:v>
                </c:pt>
                <c:pt idx="173">
                  <c:v>170.56134317330813</c:v>
                </c:pt>
                <c:pt idx="174">
                  <c:v>170.93663886579847</c:v>
                </c:pt>
                <c:pt idx="175">
                  <c:v>171.3114100660907</c:v>
                </c:pt>
                <c:pt idx="176">
                  <c:v>171.6856586303482</c:v>
                </c:pt>
                <c:pt idx="177">
                  <c:v>172.05938640547578</c:v>
                </c:pt>
                <c:pt idx="178">
                  <c:v>172.43259522918234</c:v>
                </c:pt>
                <c:pt idx="179">
                  <c:v>172.805286930043</c:v>
                </c:pt>
                <c:pt idx="180">
                  <c:v>173.17746332756056</c:v>
                </c:pt>
                <c:pt idx="181">
                  <c:v>173.54912623222671</c:v>
                </c:pt>
                <c:pt idx="182">
                  <c:v>173.9202774455824</c:v>
                </c:pt>
                <c:pt idx="183">
                  <c:v>174.290918760278</c:v>
                </c:pt>
                <c:pt idx="184">
                  <c:v>174.6610519601328</c:v>
                </c:pt>
                <c:pt idx="185">
                  <c:v>175.03067882019394</c:v>
                </c:pt>
                <c:pt idx="186">
                  <c:v>175.39980110679511</c:v>
                </c:pt>
                <c:pt idx="187">
                  <c:v>175.76842057761442</c:v>
                </c:pt>
                <c:pt idx="188">
                  <c:v>176.13653898173212</c:v>
                </c:pt>
                <c:pt idx="189">
                  <c:v>176.5041580596876</c:v>
                </c:pt>
                <c:pt idx="190">
                  <c:v>176.87127954353599</c:v>
                </c:pt>
                <c:pt idx="191">
                  <c:v>177.23790515690433</c:v>
                </c:pt>
                <c:pt idx="192">
                  <c:v>177.60403661504728</c:v>
                </c:pt>
                <c:pt idx="193">
                  <c:v>177.96967562490224</c:v>
                </c:pt>
                <c:pt idx="194">
                  <c:v>178.33482388514423</c:v>
                </c:pt>
                <c:pt idx="195">
                  <c:v>178.69948308624012</c:v>
                </c:pt>
                <c:pt idx="196">
                  <c:v>179.06365491050252</c:v>
                </c:pt>
                <c:pt idx="197">
                  <c:v>179.4273410321432</c:v>
                </c:pt>
                <c:pt idx="198">
                  <c:v>179.79054311732608</c:v>
                </c:pt>
                <c:pt idx="199">
                  <c:v>180.15326282421978</c:v>
                </c:pt>
                <c:pt idx="200">
                  <c:v>180.51550180304974</c:v>
                </c:pt>
                <c:pt idx="201">
                  <c:v>184.11157874023593</c:v>
                </c:pt>
                <c:pt idx="202">
                  <c:v>187.66063740175545</c:v>
                </c:pt>
                <c:pt idx="203">
                  <c:v>191.16425679337243</c:v>
                </c:pt>
                <c:pt idx="204">
                  <c:v>194.62394279285203</c:v>
                </c:pt>
                <c:pt idx="205">
                  <c:v>198.04113270526688</c:v>
                </c:pt>
                <c:pt idx="206">
                  <c:v>201.41719946782726</c:v>
                </c:pt>
                <c:pt idx="207">
                  <c:v>204.75345553626181</c:v>
                </c:pt>
                <c:pt idx="208">
                  <c:v>208.05115648139795</c:v>
                </c:pt>
                <c:pt idx="209">
                  <c:v>211.31150432161854</c:v>
                </c:pt>
                <c:pt idx="210">
                  <c:v>214.53565061424416</c:v>
                </c:pt>
                <c:pt idx="211">
                  <c:v>217.72469932656918</c:v>
                </c:pt>
                <c:pt idx="212">
                  <c:v>220.87970950522075</c:v>
                </c:pt>
                <c:pt idx="213">
                  <c:v>224.00169776068293</c:v>
                </c:pt>
                <c:pt idx="214">
                  <c:v>227.0916405822033</c:v>
                </c:pt>
                <c:pt idx="215">
                  <c:v>230.15047649685027</c:v>
                </c:pt>
                <c:pt idx="216">
                  <c:v>233.17910808519844</c:v>
                </c:pt>
                <c:pt idx="217">
                  <c:v>236.17840386496238</c:v>
                </c:pt>
                <c:pt idx="218">
                  <c:v>239.14920005286635</c:v>
                </c:pt>
                <c:pt idx="219">
                  <c:v>242.09230221410851</c:v>
                </c:pt>
                <c:pt idx="220">
                  <c:v>245.0084868079457</c:v>
                </c:pt>
                <c:pt idx="221">
                  <c:v>247.89850263717545</c:v>
                </c:pt>
                <c:pt idx="222">
                  <c:v>250.76307220861648</c:v>
                </c:pt>
                <c:pt idx="223">
                  <c:v>253.60289301108037</c:v>
                </c:pt>
                <c:pt idx="224">
                  <c:v>256.41863871677708</c:v>
                </c:pt>
                <c:pt idx="225">
                  <c:v>259.21096031159942</c:v>
                </c:pt>
                <c:pt idx="226">
                  <c:v>261.98048715928081</c:v>
                </c:pt>
                <c:pt idx="227">
                  <c:v>264.72782800401296</c:v>
                </c:pt>
                <c:pt idx="228">
                  <c:v>267.45357191573822</c:v>
                </c:pt>
                <c:pt idx="229">
                  <c:v>270.15828918199435</c:v>
                </c:pt>
                <c:pt idx="230">
                  <c:v>272.8425321498828</c:v>
                </c:pt>
                <c:pt idx="231">
                  <c:v>275.50683602145193</c:v>
                </c:pt>
                <c:pt idx="232">
                  <c:v>278.15171960553005</c:v>
                </c:pt>
                <c:pt idx="233">
                  <c:v>280.77768602881218</c:v>
                </c:pt>
                <c:pt idx="234">
                  <c:v>283.38522340878882</c:v>
                </c:pt>
                <c:pt idx="235">
                  <c:v>285.97480549091119</c:v>
                </c:pt>
                <c:pt idx="236">
                  <c:v>288.54689225220818</c:v>
                </c:pt>
                <c:pt idx="237">
                  <c:v>291.10193047340493</c:v>
                </c:pt>
                <c:pt idx="238">
                  <c:v>293.64035428144274</c:v>
                </c:pt>
                <c:pt idx="239">
                  <c:v>296.16258566416099</c:v>
                </c:pt>
                <c:pt idx="240">
                  <c:v>298.66903495877284</c:v>
                </c:pt>
                <c:pt idx="241">
                  <c:v>301.16010131564877</c:v>
                </c:pt>
                <c:pt idx="242">
                  <c:v>303.63617313881304</c:v>
                </c:pt>
                <c:pt idx="243">
                  <c:v>306.09762850445628</c:v>
                </c:pt>
                <c:pt idx="244">
                  <c:v>308.54483555867398</c:v>
                </c:pt>
                <c:pt idx="245">
                  <c:v>310.97815289555388</c:v>
                </c:pt>
                <c:pt idx="246">
                  <c:v>313.39792991665399</c:v>
                </c:pt>
                <c:pt idx="247">
                  <c:v>315.80450717283736</c:v>
                </c:pt>
                <c:pt idx="248">
                  <c:v>318.19821668935936</c:v>
                </c:pt>
                <c:pt idx="249">
                  <c:v>320.57938227503723</c:v>
                </c:pt>
                <c:pt idx="250">
                  <c:v>322.94831981626947</c:v>
                </c:pt>
                <c:pt idx="251">
                  <c:v>325.30533755661446</c:v>
                </c:pt>
                <c:pt idx="252">
                  <c:v>327.65073636258188</c:v>
                </c:pt>
                <c:pt idx="253">
                  <c:v>329.9848099762396</c:v>
                </c:pt>
                <c:pt idx="254">
                  <c:v>332.30784525518692</c:v>
                </c:pt>
                <c:pt idx="255">
                  <c:v>334.62012240039923</c:v>
                </c:pt>
                <c:pt idx="256">
                  <c:v>336.92191517240275</c:v>
                </c:pt>
                <c:pt idx="257">
                  <c:v>339.21349109619365</c:v>
                </c:pt>
                <c:pt idx="258">
                  <c:v>341.49511165527343</c:v>
                </c:pt>
                <c:pt idx="259">
                  <c:v>343.7670324751312</c:v>
                </c:pt>
                <c:pt idx="260">
                  <c:v>346.02950349646113</c:v>
                </c:pt>
                <c:pt idx="261">
                  <c:v>348.28276913836476</c:v>
                </c:pt>
                <c:pt idx="262">
                  <c:v>350.52706845174635</c:v>
                </c:pt>
                <c:pt idx="263">
                  <c:v>352.76263526306946</c:v>
                </c:pt>
                <c:pt idx="264">
                  <c:v>354.98969830860358</c:v>
                </c:pt>
                <c:pt idx="265">
                  <c:v>357.20848135924774</c:v>
                </c:pt>
                <c:pt idx="266">
                  <c:v>359.4192033359767</c:v>
                </c:pt>
                <c:pt idx="267">
                  <c:v>361.62207841591407</c:v>
                </c:pt>
                <c:pt idx="268">
                  <c:v>363.81731612899159</c:v>
                </c:pt>
                <c:pt idx="269">
                  <c:v>366.00512144511066</c:v>
                </c:pt>
                <c:pt idx="270">
                  <c:v>368.18569485167592</c:v>
                </c:pt>
                <c:pt idx="271">
                  <c:v>370.35923242132276</c:v>
                </c:pt>
                <c:pt idx="272">
                  <c:v>372.52592586961379</c:v>
                </c:pt>
                <c:pt idx="273">
                  <c:v>374.68596260242811</c:v>
                </c:pt>
                <c:pt idx="274">
                  <c:v>376.83952575271792</c:v>
                </c:pt>
                <c:pt idx="275">
                  <c:v>378.98679420625666</c:v>
                </c:pt>
                <c:pt idx="276">
                  <c:v>381.12794261595263</c:v>
                </c:pt>
                <c:pt idx="277">
                  <c:v>383.2631414042537</c:v>
                </c:pt>
                <c:pt idx="278">
                  <c:v>385.39255675312518</c:v>
                </c:pt>
                <c:pt idx="279">
                  <c:v>387.5163505810421</c:v>
                </c:pt>
                <c:pt idx="280">
                  <c:v>389.63468050640768</c:v>
                </c:pt>
                <c:pt idx="281">
                  <c:v>391.74769979678939</c:v>
                </c:pt>
                <c:pt idx="282">
                  <c:v>393.85555730336176</c:v>
                </c:pt>
                <c:pt idx="283">
                  <c:v>395.95839737996414</c:v>
                </c:pt>
                <c:pt idx="284">
                  <c:v>398.056359786229</c:v>
                </c:pt>
                <c:pt idx="285">
                  <c:v>400.1495795743208</c:v>
                </c:pt>
                <c:pt idx="286">
                  <c:v>402.23818695895613</c:v>
                </c:pt>
                <c:pt idx="287">
                  <c:v>404.32230717056086</c:v>
                </c:pt>
                <c:pt idx="288">
                  <c:v>406.40206029167427</c:v>
                </c:pt>
                <c:pt idx="289">
                  <c:v>408.47756107703992</c:v>
                </c:pt>
                <c:pt idx="290">
                  <c:v>410.54891875824018</c:v>
                </c:pt>
                <c:pt idx="291">
                  <c:v>412.61623683424227</c:v>
                </c:pt>
                <c:pt idx="292">
                  <c:v>414.67961284982931</c:v>
                </c:pt>
                <c:pt idx="293">
                  <c:v>416.73913816458372</c:v>
                </c:pt>
                <c:pt idx="294">
                  <c:v>418.79489771585821</c:v>
                </c:pt>
                <c:pt idx="295">
                  <c:v>420.84696977998033</c:v>
                </c:pt>
                <c:pt idx="296">
                  <c:v>422.89542573674697</c:v>
                </c:pt>
                <c:pt idx="297">
                  <c:v>424.94032984301776</c:v>
                </c:pt>
                <c:pt idx="298">
                  <c:v>426.98173902183544</c:v>
                </c:pt>
                <c:pt idx="299">
                  <c:v>429.0197026739126</c:v>
                </c:pt>
                <c:pt idx="300">
                  <c:v>431.05426251844233</c:v>
                </c:pt>
                <c:pt idx="301">
                  <c:v>433.08545246995413</c:v>
                </c:pt>
                <c:pt idx="302">
                  <c:v>435.11329855730128</c:v>
                </c:pt>
                <c:pt idx="303">
                  <c:v>437.13781888982538</c:v>
                </c:pt>
                <c:pt idx="304">
                  <c:v>439.15902367434205</c:v>
                </c:pt>
                <c:pt idx="305">
                  <c:v>441.17691528490633</c:v>
                </c:pt>
                <c:pt idx="306">
                  <c:v>443.19148838547403</c:v>
                </c:pt>
                <c:pt idx="307">
                  <c:v>445.20273010371625</c:v>
                </c:pt>
                <c:pt idx="308">
                  <c:v>447.21062025251865</c:v>
                </c:pt>
                <c:pt idx="309">
                  <c:v>449.21513159422949</c:v>
                </c:pt>
                <c:pt idx="310">
                  <c:v>451.2162301416098</c:v>
                </c:pt>
                <c:pt idx="311">
                  <c:v>453.21387548873304</c:v>
                </c:pt>
                <c:pt idx="312">
                  <c:v>455.2080211647841</c:v>
                </c:pt>
                <c:pt idx="313">
                  <c:v>457.19861500378744</c:v>
                </c:pt>
                <c:pt idx="314">
                  <c:v>459.1855995236819</c:v>
                </c:pt>
                <c:pt idx="315">
                  <c:v>461.16891230878042</c:v>
                </c:pt>
                <c:pt idx="316">
                  <c:v>463.14848639042242</c:v>
                </c:pt>
                <c:pt idx="317">
                  <c:v>465.12425062146679</c:v>
                </c:pt>
                <c:pt idx="318">
                  <c:v>467.09613004112248</c:v>
                </c:pt>
                <c:pt idx="319">
                  <c:v>469.06404622742235</c:v>
                </c:pt>
                <c:pt idx="320">
                  <c:v>471.02791763538141</c:v>
                </c:pt>
                <c:pt idx="321">
                  <c:v>472.98765991952394</c:v>
                </c:pt>
                <c:pt idx="322">
                  <c:v>474.94318624000749</c:v>
                </c:pt>
                <c:pt idx="323">
                  <c:v>476.89440755201758</c:v>
                </c:pt>
                <c:pt idx="324">
                  <c:v>478.84123287845932</c:v>
                </c:pt>
                <c:pt idx="325">
                  <c:v>480.78356956624242</c:v>
                </c:pt>
                <c:pt idx="326">
                  <c:v>482.7213235266567</c:v>
                </c:pt>
                <c:pt idx="327">
                  <c:v>484.65439946047286</c:v>
                </c:pt>
                <c:pt idx="328">
                  <c:v>486.5827010684971</c:v>
                </c:pt>
                <c:pt idx="329">
                  <c:v>488.50613124835866</c:v>
                </c:pt>
                <c:pt idx="330">
                  <c:v>490.42459227833376</c:v>
                </c:pt>
                <c:pt idx="331">
                  <c:v>492.33798598900933</c:v>
                </c:pt>
                <c:pt idx="332">
                  <c:v>494.24621392357278</c:v>
                </c:pt>
                <c:pt idx="333">
                  <c:v>496.14917748748769</c:v>
                </c:pt>
                <c:pt idx="334">
                  <c:v>498.0467780882783</c:v>
                </c:pt>
                <c:pt idx="335">
                  <c:v>499.9389172661061</c:v>
                </c:pt>
                <c:pt idx="336">
                  <c:v>501.82549681577774</c:v>
                </c:pt>
                <c:pt idx="337">
                  <c:v>503.70641890078076</c:v>
                </c:pt>
                <c:pt idx="338">
                  <c:v>505.58158615989953</c:v>
                </c:pt>
                <c:pt idx="339">
                  <c:v>507.45090180692137</c:v>
                </c:pt>
                <c:pt idx="340">
                  <c:v>509.31426972390307</c:v>
                </c:pt>
                <c:pt idx="341">
                  <c:v>511.17159454842954</c:v>
                </c:pt>
                <c:pt idx="342">
                  <c:v>513.02278175526078</c:v>
                </c:pt>
                <c:pt idx="343">
                  <c:v>514.86773773272989</c:v>
                </c:pt>
                <c:pt idx="344">
                  <c:v>516.70636985422516</c:v>
                </c:pt>
                <c:pt idx="345">
                  <c:v>518.53858654505939</c:v>
                </c:pt>
                <c:pt idx="346">
                  <c:v>520.36429734500666</c:v>
                </c:pt>
                <c:pt idx="347">
                  <c:v>522.18341296675965</c:v>
                </c:pt>
                <c:pt idx="348">
                  <c:v>523.99584535054294</c:v>
                </c:pt>
                <c:pt idx="349">
                  <c:v>525.801507715095</c:v>
                </c:pt>
                <c:pt idx="350">
                  <c:v>527.60031460521736</c:v>
                </c:pt>
                <c:pt idx="351">
                  <c:v>529.39218193606996</c:v>
                </c:pt>
                <c:pt idx="352">
                  <c:v>531.17702703438033</c:v>
                </c:pt>
                <c:pt idx="353">
                  <c:v>532.95476867671971</c:v>
                </c:pt>
                <c:pt idx="354">
                  <c:v>534.72532712498776</c:v>
                </c:pt>
                <c:pt idx="355">
                  <c:v>536.48862415923736</c:v>
                </c:pt>
                <c:pt idx="356">
                  <c:v>538.24458310796092</c:v>
                </c:pt>
                <c:pt idx="357">
                  <c:v>539.9931288759517</c:v>
                </c:pt>
                <c:pt idx="358">
                  <c:v>541.73418796984538</c:v>
                </c:pt>
                <c:pt idx="359">
                  <c:v>543.4676885214401</c:v>
                </c:pt>
                <c:pt idx="360">
                  <c:v>545.1935603088881</c:v>
                </c:pt>
                <c:pt idx="361">
                  <c:v>546.91173477584448</c:v>
                </c:pt>
                <c:pt idx="362">
                  <c:v>548.62214504865563</c:v>
                </c:pt>
                <c:pt idx="363">
                  <c:v>550.32472595166348</c:v>
                </c:pt>
                <c:pt idx="364">
                  <c:v>552.01941402069906</c:v>
                </c:pt>
                <c:pt idx="365">
                  <c:v>553.70614751483379</c:v>
                </c:pt>
                <c:pt idx="366">
                  <c:v>555.38486642645466</c:v>
                </c:pt>
                <c:pt idx="367">
                  <c:v>557.0555124897262</c:v>
                </c:pt>
                <c:pt idx="368">
                  <c:v>558.71802918749847</c:v>
                </c:pt>
                <c:pt idx="369">
                  <c:v>560.37236175671899</c:v>
                </c:pt>
                <c:pt idx="370">
                  <c:v>562.01845719240316</c:v>
                </c:pt>
                <c:pt idx="371">
                  <c:v>563.6562642502173</c:v>
                </c:pt>
                <c:pt idx="372">
                  <c:v>565.28573344772383</c:v>
                </c:pt>
                <c:pt idx="373">
                  <c:v>566.90681706433952</c:v>
                </c:pt>
                <c:pt idx="374">
                  <c:v>568.51946914005362</c:v>
                </c:pt>
                <c:pt idx="375">
                  <c:v>570.12364547295226</c:v>
                </c:pt>
                <c:pt idx="376">
                  <c:v>571.71930361559475</c:v>
                </c:pt>
                <c:pt idx="377">
                  <c:v>573.30640287028461</c:v>
                </c:pt>
                <c:pt idx="378">
                  <c:v>574.8849042832785</c:v>
                </c:pt>
                <c:pt idx="379">
                  <c:v>576.45477063797398</c:v>
                </c:pt>
                <c:pt idx="380">
                  <c:v>578.01596644711663</c:v>
                </c:pt>
                <c:pt idx="381">
                  <c:v>579.56845794406649</c:v>
                </c:pt>
                <c:pt idx="382">
                  <c:v>581.11221307316146</c:v>
                </c:pt>
                <c:pt idx="383">
                  <c:v>582.64720147921537</c:v>
                </c:pt>
                <c:pt idx="384">
                  <c:v>584.17339449618862</c:v>
                </c:pt>
                <c:pt idx="385">
                  <c:v>585.69076513506548</c:v>
                </c:pt>
                <c:pt idx="386">
                  <c:v>587.1992880709754</c:v>
                </c:pt>
                <c:pt idx="387">
                  <c:v>588.69893962959054</c:v>
                </c:pt>
                <c:pt idx="388">
                  <c:v>590.18969777283542</c:v>
                </c:pt>
                <c:pt idx="389">
                  <c:v>591.6715420839397</c:v>
                </c:pt>
                <c:pt idx="390">
                  <c:v>593.14445375186824</c:v>
                </c:pt>
                <c:pt idx="391">
                  <c:v>594.60841555515856</c:v>
                </c:pt>
                <c:pt idx="392">
                  <c:v>596.06341184519761</c:v>
                </c:pt>
                <c:pt idx="393">
                  <c:v>597.50942852896776</c:v>
                </c:pt>
                <c:pt idx="394">
                  <c:v>598.946453051292</c:v>
                </c:pt>
                <c:pt idx="395">
                  <c:v>600.37447437660683</c:v>
                </c:pt>
                <c:pt idx="396">
                  <c:v>601.79348297029151</c:v>
                </c:pt>
                <c:pt idx="397">
                  <c:v>603.20347077958195</c:v>
                </c:pt>
                <c:pt idx="398">
                  <c:v>604.60443121409514</c:v>
                </c:pt>
                <c:pt idx="399">
                  <c:v>605.99635912599172</c:v>
                </c:pt>
                <c:pt idx="400">
                  <c:v>607.37925078980209</c:v>
                </c:pt>
                <c:pt idx="401">
                  <c:v>608.75310388194089</c:v>
                </c:pt>
                <c:pt idx="402">
                  <c:v>610.11791745993571</c:v>
                </c:pt>
                <c:pt idx="403">
                  <c:v>611.47369194139242</c:v>
                </c:pt>
                <c:pt idx="404">
                  <c:v>612.8204290827216</c:v>
                </c:pt>
                <c:pt idx="405">
                  <c:v>614.15813195764883</c:v>
                </c:pt>
                <c:pt idx="406">
                  <c:v>615.48680493553036</c:v>
                </c:pt>
                <c:pt idx="407">
                  <c:v>616.80645365949613</c:v>
                </c:pt>
                <c:pt idx="408">
                  <c:v>618.11708502444117</c:v>
                </c:pt>
                <c:pt idx="409">
                  <c:v>619.41870715488574</c:v>
                </c:pt>
                <c:pt idx="410">
                  <c:v>620.71132938272353</c:v>
                </c:pt>
                <c:pt idx="411">
                  <c:v>621.99496222487744</c:v>
                </c:pt>
                <c:pt idx="412">
                  <c:v>623.26961736088185</c:v>
                </c:pt>
                <c:pt idx="413">
                  <c:v>624.53530761040861</c:v>
                </c:pt>
                <c:pt idx="414">
                  <c:v>625.79204691075427</c:v>
                </c:pt>
                <c:pt idx="415">
                  <c:v>627.03985029430658</c:v>
                </c:pt>
                <c:pt idx="416">
                  <c:v>628.27873386600459</c:v>
                </c:pt>
                <c:pt idx="417">
                  <c:v>629.50871478080944</c:v>
                </c:pt>
                <c:pt idx="418">
                  <c:v>630.72981122120052</c:v>
                </c:pt>
                <c:pt idx="419">
                  <c:v>631.9420423747116</c:v>
                </c:pt>
                <c:pt idx="420">
                  <c:v>633.14542841152104</c:v>
                </c:pt>
                <c:pt idx="421">
                  <c:v>634.33999046210943</c:v>
                </c:pt>
                <c:pt idx="422">
                  <c:v>635.52575059499748</c:v>
                </c:pt>
                <c:pt idx="423">
                  <c:v>636.70273179457695</c:v>
                </c:pt>
                <c:pt idx="424">
                  <c:v>637.87095793904643</c:v>
                </c:pt>
                <c:pt idx="425">
                  <c:v>639.03045377846342</c:v>
                </c:pt>
                <c:pt idx="426">
                  <c:v>640.18124491292281</c:v>
                </c:pt>
                <c:pt idx="427">
                  <c:v>641.32335777087383</c:v>
                </c:pt>
                <c:pt idx="428">
                  <c:v>642.45681958758337</c:v>
                </c:pt>
                <c:pt idx="429">
                  <c:v>643.58165838375692</c:v>
                </c:pt>
                <c:pt idx="430">
                  <c:v>644.69790294432494</c:v>
                </c:pt>
                <c:pt idx="431">
                  <c:v>645.80558279740364</c:v>
                </c:pt>
                <c:pt idx="432">
                  <c:v>646.9047281934379</c:v>
                </c:pt>
                <c:pt idx="433">
                  <c:v>647.99537008453467</c:v>
                </c:pt>
                <c:pt idx="434">
                  <c:v>649.0775401039931</c:v>
                </c:pt>
                <c:pt idx="435">
                  <c:v>650.15127054603886</c:v>
                </c:pt>
                <c:pt idx="436">
                  <c:v>651.21659434576884</c:v>
                </c:pt>
                <c:pt idx="437">
                  <c:v>652.27354505931214</c:v>
                </c:pt>
                <c:pt idx="438">
                  <c:v>653.32215684421249</c:v>
                </c:pt>
                <c:pt idx="439">
                  <c:v>654.36246444003871</c:v>
                </c:pt>
                <c:pt idx="440">
                  <c:v>655.3945031492259</c:v>
                </c:pt>
                <c:pt idx="441">
                  <c:v>656.41830881815406</c:v>
                </c:pt>
                <c:pt idx="442">
                  <c:v>657.43391781846628</c:v>
                </c:pt>
                <c:pt idx="443">
                  <c:v>658.4413670286317</c:v>
                </c:pt>
                <c:pt idx="444">
                  <c:v>659.44069381575616</c:v>
                </c:pt>
                <c:pt idx="445">
                  <c:v>660.43193601764335</c:v>
                </c:pt>
                <c:pt idx="446">
                  <c:v>661.41513192510979</c:v>
                </c:pt>
                <c:pt idx="447">
                  <c:v>662.39032026455595</c:v>
                </c:pt>
                <c:pt idx="448">
                  <c:v>663.35754018079535</c:v>
                </c:pt>
                <c:pt idx="449">
                  <c:v>664.31683122014476</c:v>
                </c:pt>
                <c:pt idx="450">
                  <c:v>665.26823331377523</c:v>
                </c:pt>
                <c:pt idx="451">
                  <c:v>666.21178676132752</c:v>
                </c:pt>
                <c:pt idx="452">
                  <c:v>667.14753221479134</c:v>
                </c:pt>
                <c:pt idx="453">
                  <c:v>668.07551066265034</c:v>
                </c:pt>
                <c:pt idx="454">
                  <c:v>668.99576341429292</c:v>
                </c:pt>
                <c:pt idx="455">
                  <c:v>669.90833208468996</c:v>
                </c:pt>
                <c:pt idx="456">
                  <c:v>670.81325857933894</c:v>
                </c:pt>
                <c:pt idx="457">
                  <c:v>671.71058507947475</c:v>
                </c:pt>
                <c:pt idx="458">
                  <c:v>672.60035402754784</c:v>
                </c:pt>
                <c:pt idx="459">
                  <c:v>673.48260811296768</c:v>
                </c:pt>
                <c:pt idx="460">
                  <c:v>674.35739025811256</c:v>
                </c:pt>
                <c:pt idx="461">
                  <c:v>675.22474360460387</c:v>
                </c:pt>
                <c:pt idx="462">
                  <c:v>676.08471149984496</c:v>
                </c:pt>
                <c:pt idx="463">
                  <c:v>676.9373374838226</c:v>
                </c:pt>
                <c:pt idx="464">
                  <c:v>677.78266527617052</c:v>
                </c:pt>
                <c:pt idx="465">
                  <c:v>678.62073876349314</c:v>
                </c:pt>
                <c:pt idx="466">
                  <c:v>679.45160198694862</c:v>
                </c:pt>
                <c:pt idx="467">
                  <c:v>680.27529913008902</c:v>
                </c:pt>
                <c:pt idx="468">
                  <c:v>681.09187450695629</c:v>
                </c:pt>
                <c:pt idx="469">
                  <c:v>681.90137255043192</c:v>
                </c:pt>
                <c:pt idx="470">
                  <c:v>682.70383780083841</c:v>
                </c:pt>
                <c:pt idx="471">
                  <c:v>683.49931489479047</c:v>
                </c:pt>
                <c:pt idx="472">
                  <c:v>684.28784855429399</c:v>
                </c:pt>
                <c:pt idx="473">
                  <c:v>685.06948357609019</c:v>
                </c:pt>
                <c:pt idx="474">
                  <c:v>685.84426482124286</c:v>
                </c:pt>
                <c:pt idx="475">
                  <c:v>686.61223720496594</c:v>
                </c:pt>
                <c:pt idx="476">
                  <c:v>687.37344568668982</c:v>
                </c:pt>
                <c:pt idx="477">
                  <c:v>688.12793526036228</c:v>
                </c:pt>
                <c:pt idx="478">
                  <c:v>688.875750944983</c:v>
                </c:pt>
                <c:pt idx="479">
                  <c:v>689.61693777536823</c:v>
                </c:pt>
                <c:pt idx="480">
                  <c:v>690.35154079314248</c:v>
                </c:pt>
                <c:pt idx="481">
                  <c:v>691.07960503795562</c:v>
                </c:pt>
                <c:pt idx="482">
                  <c:v>691.80117553892103</c:v>
                </c:pt>
                <c:pt idx="483">
                  <c:v>692.51629730627349</c:v>
                </c:pt>
                <c:pt idx="484">
                  <c:v>693.22501532324259</c:v>
                </c:pt>
                <c:pt idx="485">
                  <c:v>693.9273745381397</c:v>
                </c:pt>
                <c:pt idx="486">
                  <c:v>694.62341985665466</c:v>
                </c:pt>
                <c:pt idx="487">
                  <c:v>695.31319613436006</c:v>
                </c:pt>
                <c:pt idx="488">
                  <c:v>695.99674816941945</c:v>
                </c:pt>
                <c:pt idx="489">
                  <c:v>696.67412069549664</c:v>
                </c:pt>
                <c:pt idx="490">
                  <c:v>697.34535837486351</c:v>
                </c:pt>
                <c:pt idx="491">
                  <c:v>698.0105057917018</c:v>
                </c:pt>
                <c:pt idx="492">
                  <c:v>698.66960744559799</c:v>
                </c:pt>
                <c:pt idx="493">
                  <c:v>699.32270774522647</c:v>
                </c:pt>
                <c:pt idx="494">
                  <c:v>699.96985100221832</c:v>
                </c:pt>
                <c:pt idx="495">
                  <c:v>700.61108142521323</c:v>
                </c:pt>
                <c:pt idx="496">
                  <c:v>701.24644311409088</c:v>
                </c:pt>
                <c:pt idx="497">
                  <c:v>701.8759800543786</c:v>
                </c:pt>
                <c:pt idx="498">
                  <c:v>702.49973611183293</c:v>
                </c:pt>
                <c:pt idx="499">
                  <c:v>703.11775502719127</c:v>
                </c:pt>
                <c:pt idx="500">
                  <c:v>703.73008041109108</c:v>
                </c:pt>
                <c:pt idx="501">
                  <c:v>704.33675573915366</c:v>
                </c:pt>
                <c:pt idx="502">
                  <c:v>704.93782434722846</c:v>
                </c:pt>
                <c:pt idx="503">
                  <c:v>705.53332942679663</c:v>
                </c:pt>
                <c:pt idx="504">
                  <c:v>706.12331402052928</c:v>
                </c:pt>
                <c:pt idx="505">
                  <c:v>706.70782101799864</c:v>
                </c:pt>
                <c:pt idx="506">
                  <c:v>707.28689315153781</c:v>
                </c:pt>
                <c:pt idx="507">
                  <c:v>707.86057299224808</c:v>
                </c:pt>
                <c:pt idx="508">
                  <c:v>708.42890294614904</c:v>
                </c:pt>
                <c:pt idx="509">
                  <c:v>708.99192525046954</c:v>
                </c:pt>
                <c:pt idx="510">
                  <c:v>709.5496819700769</c:v>
                </c:pt>
                <c:pt idx="511">
                  <c:v>710.10221499404088</c:v>
                </c:pt>
                <c:pt idx="512">
                  <c:v>710.64956603232986</c:v>
                </c:pt>
                <c:pt idx="513">
                  <c:v>711.19177661263689</c:v>
                </c:pt>
                <c:pt idx="514">
                  <c:v>711.72888807733182</c:v>
                </c:pt>
                <c:pt idx="515">
                  <c:v>711.72888807733182</c:v>
                </c:pt>
                <c:pt idx="516">
                  <c:v>711.72888807733182</c:v>
                </c:pt>
                <c:pt idx="517">
                  <c:v>711.72888807733182</c:v>
                </c:pt>
                <c:pt idx="518">
                  <c:v>711.72888807733182</c:v>
                </c:pt>
                <c:pt idx="519">
                  <c:v>711.72888807733182</c:v>
                </c:pt>
                <c:pt idx="520">
                  <c:v>711.72888807733182</c:v>
                </c:pt>
                <c:pt idx="521">
                  <c:v>711.72888807733182</c:v>
                </c:pt>
                <c:pt idx="522">
                  <c:v>711.72888807733182</c:v>
                </c:pt>
                <c:pt idx="523">
                  <c:v>711.72888807733182</c:v>
                </c:pt>
                <c:pt idx="524">
                  <c:v>711.72888807733182</c:v>
                </c:pt>
                <c:pt idx="525">
                  <c:v>711.72888807733182</c:v>
                </c:pt>
                <c:pt idx="526">
                  <c:v>711.72888807733182</c:v>
                </c:pt>
                <c:pt idx="527">
                  <c:v>711.72888807733182</c:v>
                </c:pt>
                <c:pt idx="528">
                  <c:v>711.72888807733182</c:v>
                </c:pt>
                <c:pt idx="529">
                  <c:v>711.72888807733182</c:v>
                </c:pt>
                <c:pt idx="530">
                  <c:v>711.72888807733182</c:v>
                </c:pt>
                <c:pt idx="531">
                  <c:v>711.72888807733182</c:v>
                </c:pt>
                <c:pt idx="532">
                  <c:v>711.72888807733182</c:v>
                </c:pt>
                <c:pt idx="533">
                  <c:v>711.72888807733182</c:v>
                </c:pt>
                <c:pt idx="534">
                  <c:v>711.72888807733182</c:v>
                </c:pt>
                <c:pt idx="535">
                  <c:v>711.72888807733182</c:v>
                </c:pt>
                <c:pt idx="536">
                  <c:v>711.72888807733182</c:v>
                </c:pt>
                <c:pt idx="537">
                  <c:v>711.72888807733182</c:v>
                </c:pt>
                <c:pt idx="538">
                  <c:v>711.72888807733182</c:v>
                </c:pt>
                <c:pt idx="539">
                  <c:v>711.72888807733182</c:v>
                </c:pt>
                <c:pt idx="540">
                  <c:v>711.72888807733182</c:v>
                </c:pt>
                <c:pt idx="541">
                  <c:v>711.72888807733182</c:v>
                </c:pt>
                <c:pt idx="542">
                  <c:v>711.72888807733182</c:v>
                </c:pt>
                <c:pt idx="543">
                  <c:v>711.72888807733182</c:v>
                </c:pt>
                <c:pt idx="544">
                  <c:v>711.72888807733182</c:v>
                </c:pt>
                <c:pt idx="545">
                  <c:v>711.72888807733182</c:v>
                </c:pt>
                <c:pt idx="546">
                  <c:v>711.72888807733182</c:v>
                </c:pt>
                <c:pt idx="547">
                  <c:v>711.72888807733182</c:v>
                </c:pt>
                <c:pt idx="548">
                  <c:v>711.72888807733182</c:v>
                </c:pt>
                <c:pt idx="549">
                  <c:v>711.72888807733182</c:v>
                </c:pt>
                <c:pt idx="550">
                  <c:v>711.72888807733182</c:v>
                </c:pt>
                <c:pt idx="551">
                  <c:v>711.72888807733182</c:v>
                </c:pt>
                <c:pt idx="552">
                  <c:v>711.72888807733182</c:v>
                </c:pt>
                <c:pt idx="553">
                  <c:v>711.72888807733182</c:v>
                </c:pt>
                <c:pt idx="554">
                  <c:v>711.72888807733182</c:v>
                </c:pt>
                <c:pt idx="555">
                  <c:v>711.72888807733182</c:v>
                </c:pt>
                <c:pt idx="556">
                  <c:v>711.72888807733182</c:v>
                </c:pt>
                <c:pt idx="557">
                  <c:v>711.72888807733182</c:v>
                </c:pt>
                <c:pt idx="558">
                  <c:v>711.72888807733182</c:v>
                </c:pt>
                <c:pt idx="559">
                  <c:v>711.72888807733182</c:v>
                </c:pt>
                <c:pt idx="560">
                  <c:v>711.72888807733182</c:v>
                </c:pt>
                <c:pt idx="561">
                  <c:v>711.72888807733182</c:v>
                </c:pt>
                <c:pt idx="562">
                  <c:v>711.72888807733182</c:v>
                </c:pt>
                <c:pt idx="563">
                  <c:v>711.72888807733182</c:v>
                </c:pt>
                <c:pt idx="564">
                  <c:v>711.72888807733182</c:v>
                </c:pt>
                <c:pt idx="565">
                  <c:v>711.72888807733182</c:v>
                </c:pt>
                <c:pt idx="566">
                  <c:v>711.72888807733182</c:v>
                </c:pt>
                <c:pt idx="567">
                  <c:v>711.72888807733182</c:v>
                </c:pt>
                <c:pt idx="568">
                  <c:v>711.72888807733182</c:v>
                </c:pt>
                <c:pt idx="569">
                  <c:v>711.72888807733182</c:v>
                </c:pt>
                <c:pt idx="570">
                  <c:v>711.72888807733182</c:v>
                </c:pt>
                <c:pt idx="571">
                  <c:v>711.72888807733182</c:v>
                </c:pt>
                <c:pt idx="572">
                  <c:v>711.72888807733182</c:v>
                </c:pt>
                <c:pt idx="573">
                  <c:v>711.72888807733182</c:v>
                </c:pt>
                <c:pt idx="574">
                  <c:v>711.72888807733182</c:v>
                </c:pt>
                <c:pt idx="575">
                  <c:v>711.72888807733182</c:v>
                </c:pt>
                <c:pt idx="576">
                  <c:v>711.72888807733182</c:v>
                </c:pt>
                <c:pt idx="577">
                  <c:v>711.72888807733182</c:v>
                </c:pt>
                <c:pt idx="578">
                  <c:v>711.72888807733182</c:v>
                </c:pt>
                <c:pt idx="579">
                  <c:v>711.72888807733182</c:v>
                </c:pt>
                <c:pt idx="580">
                  <c:v>711.72888807733182</c:v>
                </c:pt>
                <c:pt idx="581">
                  <c:v>711.72888807733182</c:v>
                </c:pt>
                <c:pt idx="582">
                  <c:v>711.72888807733182</c:v>
                </c:pt>
                <c:pt idx="583">
                  <c:v>711.72888807733182</c:v>
                </c:pt>
                <c:pt idx="584">
                  <c:v>711.72888807733182</c:v>
                </c:pt>
                <c:pt idx="585">
                  <c:v>711.72888807733182</c:v>
                </c:pt>
                <c:pt idx="586">
                  <c:v>711.72888807733182</c:v>
                </c:pt>
                <c:pt idx="587">
                  <c:v>711.72888807733182</c:v>
                </c:pt>
                <c:pt idx="588">
                  <c:v>711.72888807733182</c:v>
                </c:pt>
                <c:pt idx="589">
                  <c:v>711.72888807733182</c:v>
                </c:pt>
                <c:pt idx="590">
                  <c:v>711.72888807733182</c:v>
                </c:pt>
                <c:pt idx="591">
                  <c:v>711.72888807733182</c:v>
                </c:pt>
                <c:pt idx="592">
                  <c:v>711.72888807733182</c:v>
                </c:pt>
                <c:pt idx="593">
                  <c:v>711.72888807733182</c:v>
                </c:pt>
                <c:pt idx="594">
                  <c:v>711.72888807733182</c:v>
                </c:pt>
                <c:pt idx="595">
                  <c:v>711.72888807733182</c:v>
                </c:pt>
                <c:pt idx="596">
                  <c:v>711.72888807733182</c:v>
                </c:pt>
                <c:pt idx="597">
                  <c:v>711.72888807733182</c:v>
                </c:pt>
                <c:pt idx="598">
                  <c:v>711.72888807733182</c:v>
                </c:pt>
                <c:pt idx="599">
                  <c:v>711.72888807733182</c:v>
                </c:pt>
                <c:pt idx="600">
                  <c:v>711.72888807733182</c:v>
                </c:pt>
                <c:pt idx="601">
                  <c:v>711.72888807733182</c:v>
                </c:pt>
                <c:pt idx="602">
                  <c:v>711.72888807733182</c:v>
                </c:pt>
                <c:pt idx="603">
                  <c:v>711.72888807733182</c:v>
                </c:pt>
                <c:pt idx="604">
                  <c:v>711.72888807733182</c:v>
                </c:pt>
                <c:pt idx="605">
                  <c:v>711.72888807733182</c:v>
                </c:pt>
                <c:pt idx="606">
                  <c:v>711.72888807733182</c:v>
                </c:pt>
                <c:pt idx="607">
                  <c:v>711.72888807733182</c:v>
                </c:pt>
                <c:pt idx="608">
                  <c:v>711.72888807733182</c:v>
                </c:pt>
                <c:pt idx="609">
                  <c:v>711.72888807733182</c:v>
                </c:pt>
                <c:pt idx="610">
                  <c:v>711.72888807733182</c:v>
                </c:pt>
                <c:pt idx="611">
                  <c:v>711.72888807733182</c:v>
                </c:pt>
                <c:pt idx="612">
                  <c:v>711.72888807733182</c:v>
                </c:pt>
                <c:pt idx="613">
                  <c:v>711.72888807733182</c:v>
                </c:pt>
                <c:pt idx="614">
                  <c:v>711.72888807733182</c:v>
                </c:pt>
                <c:pt idx="615">
                  <c:v>711.72888807733182</c:v>
                </c:pt>
                <c:pt idx="616">
                  <c:v>711.72888807733182</c:v>
                </c:pt>
                <c:pt idx="617">
                  <c:v>711.72888807733182</c:v>
                </c:pt>
                <c:pt idx="618">
                  <c:v>711.72888807733182</c:v>
                </c:pt>
                <c:pt idx="619">
                  <c:v>711.72888807733182</c:v>
                </c:pt>
                <c:pt idx="620">
                  <c:v>711.72888807733182</c:v>
                </c:pt>
                <c:pt idx="621">
                  <c:v>711.72888807733182</c:v>
                </c:pt>
                <c:pt idx="622">
                  <c:v>711.72888807733182</c:v>
                </c:pt>
                <c:pt idx="623">
                  <c:v>711.72888807733182</c:v>
                </c:pt>
                <c:pt idx="624">
                  <c:v>711.72888807733182</c:v>
                </c:pt>
                <c:pt idx="625">
                  <c:v>711.72888807733182</c:v>
                </c:pt>
                <c:pt idx="626">
                  <c:v>711.72888807733182</c:v>
                </c:pt>
                <c:pt idx="627">
                  <c:v>711.72888807733182</c:v>
                </c:pt>
                <c:pt idx="628">
                  <c:v>711.72888807733182</c:v>
                </c:pt>
                <c:pt idx="629">
                  <c:v>711.72888807733182</c:v>
                </c:pt>
                <c:pt idx="630">
                  <c:v>711.72888807733182</c:v>
                </c:pt>
                <c:pt idx="631">
                  <c:v>711.72888807733182</c:v>
                </c:pt>
                <c:pt idx="632">
                  <c:v>711.72888807733182</c:v>
                </c:pt>
                <c:pt idx="633">
                  <c:v>711.72888807733182</c:v>
                </c:pt>
                <c:pt idx="634">
                  <c:v>711.72888807733182</c:v>
                </c:pt>
                <c:pt idx="635">
                  <c:v>711.72888807733182</c:v>
                </c:pt>
                <c:pt idx="636">
                  <c:v>711.72888807733182</c:v>
                </c:pt>
                <c:pt idx="637">
                  <c:v>711.72888807733182</c:v>
                </c:pt>
                <c:pt idx="638">
                  <c:v>711.72888807733182</c:v>
                </c:pt>
                <c:pt idx="639">
                  <c:v>711.72888807733182</c:v>
                </c:pt>
                <c:pt idx="640">
                  <c:v>711.72888807733182</c:v>
                </c:pt>
                <c:pt idx="641">
                  <c:v>711.72888807733182</c:v>
                </c:pt>
                <c:pt idx="642">
                  <c:v>711.72888807733182</c:v>
                </c:pt>
                <c:pt idx="643">
                  <c:v>711.72888807733182</c:v>
                </c:pt>
                <c:pt idx="644">
                  <c:v>711.72888807733182</c:v>
                </c:pt>
                <c:pt idx="645">
                  <c:v>711.72888807733182</c:v>
                </c:pt>
                <c:pt idx="646">
                  <c:v>711.72888807733182</c:v>
                </c:pt>
                <c:pt idx="647">
                  <c:v>711.72888807733182</c:v>
                </c:pt>
                <c:pt idx="648">
                  <c:v>711.72888807733182</c:v>
                </c:pt>
                <c:pt idx="649">
                  <c:v>711.72888807733182</c:v>
                </c:pt>
                <c:pt idx="650">
                  <c:v>711.72888807733182</c:v>
                </c:pt>
                <c:pt idx="651">
                  <c:v>711.72888807733182</c:v>
                </c:pt>
                <c:pt idx="652">
                  <c:v>711.72888807733182</c:v>
                </c:pt>
                <c:pt idx="653">
                  <c:v>711.72888807733182</c:v>
                </c:pt>
                <c:pt idx="654">
                  <c:v>711.72888807733182</c:v>
                </c:pt>
                <c:pt idx="655">
                  <c:v>711.72888807733182</c:v>
                </c:pt>
                <c:pt idx="656">
                  <c:v>711.72888807733182</c:v>
                </c:pt>
                <c:pt idx="657">
                  <c:v>711.72888807733182</c:v>
                </c:pt>
                <c:pt idx="658">
                  <c:v>711.72888807733182</c:v>
                </c:pt>
                <c:pt idx="659">
                  <c:v>711.72888807733182</c:v>
                </c:pt>
                <c:pt idx="660">
                  <c:v>711.72888807733182</c:v>
                </c:pt>
                <c:pt idx="661">
                  <c:v>711.72888807733182</c:v>
                </c:pt>
                <c:pt idx="662">
                  <c:v>711.72888807733182</c:v>
                </c:pt>
                <c:pt idx="663">
                  <c:v>711.72888807733182</c:v>
                </c:pt>
                <c:pt idx="664">
                  <c:v>711.72888807733182</c:v>
                </c:pt>
                <c:pt idx="665">
                  <c:v>711.72888807733182</c:v>
                </c:pt>
                <c:pt idx="666">
                  <c:v>711.72888807733182</c:v>
                </c:pt>
                <c:pt idx="667">
                  <c:v>711.72888807733182</c:v>
                </c:pt>
                <c:pt idx="668">
                  <c:v>711.72888807733182</c:v>
                </c:pt>
                <c:pt idx="669">
                  <c:v>711.72888807733182</c:v>
                </c:pt>
                <c:pt idx="670">
                  <c:v>711.72888807733182</c:v>
                </c:pt>
                <c:pt idx="671">
                  <c:v>711.72888807733182</c:v>
                </c:pt>
                <c:pt idx="672">
                  <c:v>711.72888807733182</c:v>
                </c:pt>
                <c:pt idx="673">
                  <c:v>711.72888807733182</c:v>
                </c:pt>
                <c:pt idx="674">
                  <c:v>711.72888807733182</c:v>
                </c:pt>
                <c:pt idx="675">
                  <c:v>711.72888807733182</c:v>
                </c:pt>
                <c:pt idx="676">
                  <c:v>711.72888807733182</c:v>
                </c:pt>
                <c:pt idx="677">
                  <c:v>711.72888807733182</c:v>
                </c:pt>
                <c:pt idx="678">
                  <c:v>711.72888807733182</c:v>
                </c:pt>
                <c:pt idx="679">
                  <c:v>711.72888807733182</c:v>
                </c:pt>
                <c:pt idx="680">
                  <c:v>711.72888807733182</c:v>
                </c:pt>
                <c:pt idx="681">
                  <c:v>711.72888807733182</c:v>
                </c:pt>
                <c:pt idx="682">
                  <c:v>711.72888807733182</c:v>
                </c:pt>
                <c:pt idx="683">
                  <c:v>711.72888807733182</c:v>
                </c:pt>
                <c:pt idx="684">
                  <c:v>711.72888807733182</c:v>
                </c:pt>
                <c:pt idx="685">
                  <c:v>711.72888807733182</c:v>
                </c:pt>
                <c:pt idx="686">
                  <c:v>711.72888807733182</c:v>
                </c:pt>
                <c:pt idx="687">
                  <c:v>711.72888807733182</c:v>
                </c:pt>
                <c:pt idx="688">
                  <c:v>711.72888807733182</c:v>
                </c:pt>
                <c:pt idx="689">
                  <c:v>711.72888807733182</c:v>
                </c:pt>
                <c:pt idx="690">
                  <c:v>711.72888807733182</c:v>
                </c:pt>
                <c:pt idx="691">
                  <c:v>711.72888807733182</c:v>
                </c:pt>
                <c:pt idx="692">
                  <c:v>711.72888807733182</c:v>
                </c:pt>
                <c:pt idx="693">
                  <c:v>711.72888807733182</c:v>
                </c:pt>
                <c:pt idx="694">
                  <c:v>711.72888807733182</c:v>
                </c:pt>
                <c:pt idx="695">
                  <c:v>711.72888807733182</c:v>
                </c:pt>
                <c:pt idx="696">
                  <c:v>711.72888807733182</c:v>
                </c:pt>
                <c:pt idx="697">
                  <c:v>711.72888807733182</c:v>
                </c:pt>
                <c:pt idx="698">
                  <c:v>711.72888807733182</c:v>
                </c:pt>
                <c:pt idx="699">
                  <c:v>711.72888807733182</c:v>
                </c:pt>
                <c:pt idx="700">
                  <c:v>711.72888807733182</c:v>
                </c:pt>
                <c:pt idx="701">
                  <c:v>711.72888807733182</c:v>
                </c:pt>
                <c:pt idx="702">
                  <c:v>711.72888807733182</c:v>
                </c:pt>
                <c:pt idx="703">
                  <c:v>711.72888807733182</c:v>
                </c:pt>
                <c:pt idx="704">
                  <c:v>711.72888807733182</c:v>
                </c:pt>
                <c:pt idx="705">
                  <c:v>711.72888807733182</c:v>
                </c:pt>
                <c:pt idx="706">
                  <c:v>711.72888807733182</c:v>
                </c:pt>
                <c:pt idx="707">
                  <c:v>711.72888807733182</c:v>
                </c:pt>
                <c:pt idx="708">
                  <c:v>711.72888807733182</c:v>
                </c:pt>
                <c:pt idx="709">
                  <c:v>711.72888807733182</c:v>
                </c:pt>
                <c:pt idx="710">
                  <c:v>711.72888807733182</c:v>
                </c:pt>
                <c:pt idx="711">
                  <c:v>711.72888807733182</c:v>
                </c:pt>
                <c:pt idx="712">
                  <c:v>711.72888807733182</c:v>
                </c:pt>
                <c:pt idx="713">
                  <c:v>711.72888807733182</c:v>
                </c:pt>
                <c:pt idx="714">
                  <c:v>711.72888807733182</c:v>
                </c:pt>
                <c:pt idx="715">
                  <c:v>711.72888807733182</c:v>
                </c:pt>
                <c:pt idx="716">
                  <c:v>711.72888807733182</c:v>
                </c:pt>
                <c:pt idx="717">
                  <c:v>711.72888807733182</c:v>
                </c:pt>
                <c:pt idx="718">
                  <c:v>711.72888807733182</c:v>
                </c:pt>
                <c:pt idx="719">
                  <c:v>711.72888807733182</c:v>
                </c:pt>
                <c:pt idx="720">
                  <c:v>711.72888807733182</c:v>
                </c:pt>
                <c:pt idx="721">
                  <c:v>711.72888807733182</c:v>
                </c:pt>
                <c:pt idx="722">
                  <c:v>711.72888807733182</c:v>
                </c:pt>
                <c:pt idx="723">
                  <c:v>711.72888807733182</c:v>
                </c:pt>
                <c:pt idx="724">
                  <c:v>711.72888807733182</c:v>
                </c:pt>
                <c:pt idx="725">
                  <c:v>711.72888807733182</c:v>
                </c:pt>
                <c:pt idx="726">
                  <c:v>711.72888807733182</c:v>
                </c:pt>
                <c:pt idx="727">
                  <c:v>711.72888807733182</c:v>
                </c:pt>
                <c:pt idx="728">
                  <c:v>711.72888807733182</c:v>
                </c:pt>
                <c:pt idx="729">
                  <c:v>711.72888807733182</c:v>
                </c:pt>
                <c:pt idx="730">
                  <c:v>711.72888807733182</c:v>
                </c:pt>
                <c:pt idx="731">
                  <c:v>711.72888807733182</c:v>
                </c:pt>
                <c:pt idx="732">
                  <c:v>711.72888807733182</c:v>
                </c:pt>
                <c:pt idx="733">
                  <c:v>711.72888807733182</c:v>
                </c:pt>
                <c:pt idx="734">
                  <c:v>711.72888807733182</c:v>
                </c:pt>
                <c:pt idx="735">
                  <c:v>711.72888807733182</c:v>
                </c:pt>
                <c:pt idx="736">
                  <c:v>711.72888807733182</c:v>
                </c:pt>
                <c:pt idx="737">
                  <c:v>711.72888807733182</c:v>
                </c:pt>
                <c:pt idx="738">
                  <c:v>711.72888807733182</c:v>
                </c:pt>
                <c:pt idx="739">
                  <c:v>711.72888807733182</c:v>
                </c:pt>
                <c:pt idx="740">
                  <c:v>711.72888807733182</c:v>
                </c:pt>
                <c:pt idx="741">
                  <c:v>711.72888807733182</c:v>
                </c:pt>
                <c:pt idx="742">
                  <c:v>711.72888807733182</c:v>
                </c:pt>
                <c:pt idx="743">
                  <c:v>711.72888807733182</c:v>
                </c:pt>
                <c:pt idx="744">
                  <c:v>711.72888807733182</c:v>
                </c:pt>
                <c:pt idx="745">
                  <c:v>711.72888807733182</c:v>
                </c:pt>
                <c:pt idx="746">
                  <c:v>711.72888807733182</c:v>
                </c:pt>
                <c:pt idx="747">
                  <c:v>711.72888807733182</c:v>
                </c:pt>
                <c:pt idx="748">
                  <c:v>711.72888807733182</c:v>
                </c:pt>
                <c:pt idx="749">
                  <c:v>711.72888807733182</c:v>
                </c:pt>
                <c:pt idx="750">
                  <c:v>711.72888807733182</c:v>
                </c:pt>
                <c:pt idx="751">
                  <c:v>711.72888807733182</c:v>
                </c:pt>
                <c:pt idx="752">
                  <c:v>711.72888807733182</c:v>
                </c:pt>
                <c:pt idx="753">
                  <c:v>711.72888807733182</c:v>
                </c:pt>
                <c:pt idx="754">
                  <c:v>711.72888807733182</c:v>
                </c:pt>
                <c:pt idx="755">
                  <c:v>711.72888807733182</c:v>
                </c:pt>
                <c:pt idx="756">
                  <c:v>711.72888807733182</c:v>
                </c:pt>
                <c:pt idx="757">
                  <c:v>711.72888807733182</c:v>
                </c:pt>
                <c:pt idx="758">
                  <c:v>711.72888807733182</c:v>
                </c:pt>
                <c:pt idx="759">
                  <c:v>711.72888807733182</c:v>
                </c:pt>
                <c:pt idx="760">
                  <c:v>711.72888807733182</c:v>
                </c:pt>
                <c:pt idx="761">
                  <c:v>711.72888807733182</c:v>
                </c:pt>
                <c:pt idx="762">
                  <c:v>711.72888807733182</c:v>
                </c:pt>
                <c:pt idx="763">
                  <c:v>711.72888807733182</c:v>
                </c:pt>
                <c:pt idx="764">
                  <c:v>711.72888807733182</c:v>
                </c:pt>
                <c:pt idx="765">
                  <c:v>711.72888807733182</c:v>
                </c:pt>
                <c:pt idx="766">
                  <c:v>711.72888807733182</c:v>
                </c:pt>
                <c:pt idx="767">
                  <c:v>711.72888807733182</c:v>
                </c:pt>
                <c:pt idx="768">
                  <c:v>711.72888807733182</c:v>
                </c:pt>
                <c:pt idx="769">
                  <c:v>711.72888807733182</c:v>
                </c:pt>
                <c:pt idx="770">
                  <c:v>711.72888807733182</c:v>
                </c:pt>
                <c:pt idx="771">
                  <c:v>711.72888807733182</c:v>
                </c:pt>
                <c:pt idx="772">
                  <c:v>711.72888807733182</c:v>
                </c:pt>
                <c:pt idx="773">
                  <c:v>711.72888807733182</c:v>
                </c:pt>
                <c:pt idx="774">
                  <c:v>711.72888807733182</c:v>
                </c:pt>
                <c:pt idx="775">
                  <c:v>711.72888807733182</c:v>
                </c:pt>
                <c:pt idx="776">
                  <c:v>711.72888807733182</c:v>
                </c:pt>
                <c:pt idx="777">
                  <c:v>711.72888807733182</c:v>
                </c:pt>
                <c:pt idx="778">
                  <c:v>711.72888807733182</c:v>
                </c:pt>
                <c:pt idx="779">
                  <c:v>711.72888807733182</c:v>
                </c:pt>
                <c:pt idx="780">
                  <c:v>711.72888807733182</c:v>
                </c:pt>
                <c:pt idx="781">
                  <c:v>711.72888807733182</c:v>
                </c:pt>
                <c:pt idx="782">
                  <c:v>711.72888807733182</c:v>
                </c:pt>
                <c:pt idx="783">
                  <c:v>711.72888807733182</c:v>
                </c:pt>
                <c:pt idx="784">
                  <c:v>711.72888807733182</c:v>
                </c:pt>
                <c:pt idx="785">
                  <c:v>711.72888807733182</c:v>
                </c:pt>
                <c:pt idx="786">
                  <c:v>711.72888807733182</c:v>
                </c:pt>
                <c:pt idx="787">
                  <c:v>711.72888807733182</c:v>
                </c:pt>
                <c:pt idx="788">
                  <c:v>711.72888807733182</c:v>
                </c:pt>
                <c:pt idx="789">
                  <c:v>711.72888807733182</c:v>
                </c:pt>
                <c:pt idx="790">
                  <c:v>711.72888807733182</c:v>
                </c:pt>
                <c:pt idx="791">
                  <c:v>711.72888807733182</c:v>
                </c:pt>
                <c:pt idx="792">
                  <c:v>711.72888807733182</c:v>
                </c:pt>
                <c:pt idx="793">
                  <c:v>711.72888807733182</c:v>
                </c:pt>
                <c:pt idx="794">
                  <c:v>711.72888807733182</c:v>
                </c:pt>
                <c:pt idx="795">
                  <c:v>711.72888807733182</c:v>
                </c:pt>
                <c:pt idx="796">
                  <c:v>711.72888807733182</c:v>
                </c:pt>
                <c:pt idx="797">
                  <c:v>711.72888807733182</c:v>
                </c:pt>
                <c:pt idx="798">
                  <c:v>711.72888807733182</c:v>
                </c:pt>
                <c:pt idx="799">
                  <c:v>711.72888807733182</c:v>
                </c:pt>
                <c:pt idx="800">
                  <c:v>711.72888807733182</c:v>
                </c:pt>
                <c:pt idx="801">
                  <c:v>711.72888807733182</c:v>
                </c:pt>
                <c:pt idx="802">
                  <c:v>711.72888807733182</c:v>
                </c:pt>
                <c:pt idx="803">
                  <c:v>711.72888807733182</c:v>
                </c:pt>
                <c:pt idx="804">
                  <c:v>711.72888807733182</c:v>
                </c:pt>
                <c:pt idx="805">
                  <c:v>711.72888807733182</c:v>
                </c:pt>
                <c:pt idx="806">
                  <c:v>711.72888807733182</c:v>
                </c:pt>
                <c:pt idx="807">
                  <c:v>711.72888807733182</c:v>
                </c:pt>
                <c:pt idx="808">
                  <c:v>711.72888807733182</c:v>
                </c:pt>
                <c:pt idx="809">
                  <c:v>711.72888807733182</c:v>
                </c:pt>
                <c:pt idx="810">
                  <c:v>711.72888807733182</c:v>
                </c:pt>
                <c:pt idx="811">
                  <c:v>711.72888807733182</c:v>
                </c:pt>
                <c:pt idx="812">
                  <c:v>711.72888807733182</c:v>
                </c:pt>
                <c:pt idx="813">
                  <c:v>711.72888807733182</c:v>
                </c:pt>
                <c:pt idx="814">
                  <c:v>711.72888807733182</c:v>
                </c:pt>
                <c:pt idx="815">
                  <c:v>711.72888807733182</c:v>
                </c:pt>
                <c:pt idx="816">
                  <c:v>711.72888807733182</c:v>
                </c:pt>
                <c:pt idx="817">
                  <c:v>711.72888807733182</c:v>
                </c:pt>
                <c:pt idx="818">
                  <c:v>711.72888807733182</c:v>
                </c:pt>
                <c:pt idx="819">
                  <c:v>711.72888807733182</c:v>
                </c:pt>
                <c:pt idx="820">
                  <c:v>711.72888807733182</c:v>
                </c:pt>
                <c:pt idx="821">
                  <c:v>711.72888807733182</c:v>
                </c:pt>
                <c:pt idx="822">
                  <c:v>711.72888807733182</c:v>
                </c:pt>
                <c:pt idx="823">
                  <c:v>711.72888807733182</c:v>
                </c:pt>
                <c:pt idx="824">
                  <c:v>711.72888807733182</c:v>
                </c:pt>
                <c:pt idx="825">
                  <c:v>711.72888807733182</c:v>
                </c:pt>
                <c:pt idx="826">
                  <c:v>711.72888807733182</c:v>
                </c:pt>
                <c:pt idx="827">
                  <c:v>711.72888807733182</c:v>
                </c:pt>
                <c:pt idx="828">
                  <c:v>711.72888807733182</c:v>
                </c:pt>
                <c:pt idx="829">
                  <c:v>711.72888807733182</c:v>
                </c:pt>
                <c:pt idx="830">
                  <c:v>711.72888807733182</c:v>
                </c:pt>
                <c:pt idx="831">
                  <c:v>711.72888807733182</c:v>
                </c:pt>
                <c:pt idx="832">
                  <c:v>711.72888807733182</c:v>
                </c:pt>
                <c:pt idx="833">
                  <c:v>711.72888807733182</c:v>
                </c:pt>
                <c:pt idx="834">
                  <c:v>711.72888807733182</c:v>
                </c:pt>
                <c:pt idx="835">
                  <c:v>711.72888807733182</c:v>
                </c:pt>
                <c:pt idx="836">
                  <c:v>711.72888807733182</c:v>
                </c:pt>
                <c:pt idx="837">
                  <c:v>711.72888807733182</c:v>
                </c:pt>
                <c:pt idx="838">
                  <c:v>711.72888807733182</c:v>
                </c:pt>
                <c:pt idx="839">
                  <c:v>711.72888807733182</c:v>
                </c:pt>
                <c:pt idx="840">
                  <c:v>711.72888807733182</c:v>
                </c:pt>
                <c:pt idx="841">
                  <c:v>711.72888807733182</c:v>
                </c:pt>
                <c:pt idx="842">
                  <c:v>711.72888807733182</c:v>
                </c:pt>
                <c:pt idx="843">
                  <c:v>711.72888807733182</c:v>
                </c:pt>
                <c:pt idx="844">
                  <c:v>711.72888807733182</c:v>
                </c:pt>
                <c:pt idx="845">
                  <c:v>711.72888807733182</c:v>
                </c:pt>
                <c:pt idx="846">
                  <c:v>711.72888807733182</c:v>
                </c:pt>
                <c:pt idx="847">
                  <c:v>711.72888807733182</c:v>
                </c:pt>
                <c:pt idx="848">
                  <c:v>711.72888807733182</c:v>
                </c:pt>
                <c:pt idx="849">
                  <c:v>711.72888807733182</c:v>
                </c:pt>
                <c:pt idx="850">
                  <c:v>711.72888807733182</c:v>
                </c:pt>
                <c:pt idx="851">
                  <c:v>711.72888807733182</c:v>
                </c:pt>
                <c:pt idx="852">
                  <c:v>711.72888807733182</c:v>
                </c:pt>
                <c:pt idx="853">
                  <c:v>711.72888807733182</c:v>
                </c:pt>
                <c:pt idx="854">
                  <c:v>711.72888807733182</c:v>
                </c:pt>
                <c:pt idx="855">
                  <c:v>711.72888807733182</c:v>
                </c:pt>
                <c:pt idx="856">
                  <c:v>711.72888807733182</c:v>
                </c:pt>
                <c:pt idx="857">
                  <c:v>711.72888807733182</c:v>
                </c:pt>
                <c:pt idx="858">
                  <c:v>711.72888807733182</c:v>
                </c:pt>
                <c:pt idx="859">
                  <c:v>711.72888807733182</c:v>
                </c:pt>
                <c:pt idx="860">
                  <c:v>711.72888807733182</c:v>
                </c:pt>
                <c:pt idx="861">
                  <c:v>711.72888807733182</c:v>
                </c:pt>
                <c:pt idx="862">
                  <c:v>711.72888807733182</c:v>
                </c:pt>
                <c:pt idx="863">
                  <c:v>711.72888807733182</c:v>
                </c:pt>
                <c:pt idx="864">
                  <c:v>711.72888807733182</c:v>
                </c:pt>
                <c:pt idx="865">
                  <c:v>711.72888807733182</c:v>
                </c:pt>
                <c:pt idx="866">
                  <c:v>711.72888807733182</c:v>
                </c:pt>
                <c:pt idx="867">
                  <c:v>711.72888807733182</c:v>
                </c:pt>
                <c:pt idx="868">
                  <c:v>711.72888807733182</c:v>
                </c:pt>
                <c:pt idx="869">
                  <c:v>711.72888807733182</c:v>
                </c:pt>
                <c:pt idx="870">
                  <c:v>711.72888807733182</c:v>
                </c:pt>
                <c:pt idx="871">
                  <c:v>711.72888807733182</c:v>
                </c:pt>
                <c:pt idx="872">
                  <c:v>711.72888807733182</c:v>
                </c:pt>
                <c:pt idx="873">
                  <c:v>711.72888807733182</c:v>
                </c:pt>
                <c:pt idx="874">
                  <c:v>711.72888807733182</c:v>
                </c:pt>
                <c:pt idx="875">
                  <c:v>711.72888807733182</c:v>
                </c:pt>
                <c:pt idx="876">
                  <c:v>711.72888807733182</c:v>
                </c:pt>
                <c:pt idx="877">
                  <c:v>711.72888807733182</c:v>
                </c:pt>
                <c:pt idx="878">
                  <c:v>711.72888807733182</c:v>
                </c:pt>
                <c:pt idx="879">
                  <c:v>711.72888807733182</c:v>
                </c:pt>
                <c:pt idx="880">
                  <c:v>711.72888807733182</c:v>
                </c:pt>
                <c:pt idx="881">
                  <c:v>711.72888807733182</c:v>
                </c:pt>
                <c:pt idx="882">
                  <c:v>711.72888807733182</c:v>
                </c:pt>
                <c:pt idx="883">
                  <c:v>711.72888807733182</c:v>
                </c:pt>
                <c:pt idx="884">
                  <c:v>711.72888807733182</c:v>
                </c:pt>
                <c:pt idx="885">
                  <c:v>711.72888807733182</c:v>
                </c:pt>
                <c:pt idx="886">
                  <c:v>711.72888807733182</c:v>
                </c:pt>
                <c:pt idx="887">
                  <c:v>711.72888807733182</c:v>
                </c:pt>
                <c:pt idx="888">
                  <c:v>711.72888807733182</c:v>
                </c:pt>
                <c:pt idx="889">
                  <c:v>711.72888807733182</c:v>
                </c:pt>
                <c:pt idx="890">
                  <c:v>711.72888807733182</c:v>
                </c:pt>
                <c:pt idx="891">
                  <c:v>711.72888807733182</c:v>
                </c:pt>
                <c:pt idx="892">
                  <c:v>711.72888807733182</c:v>
                </c:pt>
                <c:pt idx="893">
                  <c:v>711.72888807733182</c:v>
                </c:pt>
                <c:pt idx="894">
                  <c:v>711.72888807733182</c:v>
                </c:pt>
                <c:pt idx="895">
                  <c:v>711.72888807733182</c:v>
                </c:pt>
                <c:pt idx="896">
                  <c:v>711.72888807733182</c:v>
                </c:pt>
                <c:pt idx="897">
                  <c:v>711.72888807733182</c:v>
                </c:pt>
                <c:pt idx="898">
                  <c:v>711.72888807733182</c:v>
                </c:pt>
                <c:pt idx="899">
                  <c:v>711.72888807733182</c:v>
                </c:pt>
                <c:pt idx="900">
                  <c:v>711.72888807733182</c:v>
                </c:pt>
                <c:pt idx="901">
                  <c:v>711.72888807733182</c:v>
                </c:pt>
                <c:pt idx="902">
                  <c:v>711.72888807733182</c:v>
                </c:pt>
                <c:pt idx="903">
                  <c:v>711.72888807733182</c:v>
                </c:pt>
                <c:pt idx="904">
                  <c:v>711.72888807733182</c:v>
                </c:pt>
                <c:pt idx="905">
                  <c:v>711.72888807733182</c:v>
                </c:pt>
                <c:pt idx="906">
                  <c:v>711.72888807733182</c:v>
                </c:pt>
                <c:pt idx="907">
                  <c:v>711.72888807733182</c:v>
                </c:pt>
                <c:pt idx="908">
                  <c:v>711.72888807733182</c:v>
                </c:pt>
                <c:pt idx="909">
                  <c:v>711.72888807733182</c:v>
                </c:pt>
                <c:pt idx="910">
                  <c:v>711.72888807733182</c:v>
                </c:pt>
                <c:pt idx="911">
                  <c:v>711.72888807733182</c:v>
                </c:pt>
                <c:pt idx="912">
                  <c:v>711.72888807733182</c:v>
                </c:pt>
                <c:pt idx="913">
                  <c:v>711.72888807733182</c:v>
                </c:pt>
                <c:pt idx="914">
                  <c:v>711.72888807733182</c:v>
                </c:pt>
                <c:pt idx="915">
                  <c:v>711.72888807733182</c:v>
                </c:pt>
                <c:pt idx="916">
                  <c:v>711.72888807733182</c:v>
                </c:pt>
                <c:pt idx="917">
                  <c:v>711.72888807733182</c:v>
                </c:pt>
                <c:pt idx="918">
                  <c:v>711.72888807733182</c:v>
                </c:pt>
                <c:pt idx="919">
                  <c:v>711.72888807733182</c:v>
                </c:pt>
                <c:pt idx="920">
                  <c:v>711.72888807733182</c:v>
                </c:pt>
                <c:pt idx="921">
                  <c:v>711.72888807733182</c:v>
                </c:pt>
                <c:pt idx="922">
                  <c:v>711.72888807733182</c:v>
                </c:pt>
                <c:pt idx="923">
                  <c:v>711.72888807733182</c:v>
                </c:pt>
                <c:pt idx="924">
                  <c:v>711.72888807733182</c:v>
                </c:pt>
                <c:pt idx="925">
                  <c:v>711.72888807733182</c:v>
                </c:pt>
                <c:pt idx="926">
                  <c:v>711.72888807733182</c:v>
                </c:pt>
                <c:pt idx="927">
                  <c:v>711.72888807733182</c:v>
                </c:pt>
                <c:pt idx="928">
                  <c:v>711.72888807733182</c:v>
                </c:pt>
                <c:pt idx="929">
                  <c:v>711.72888807733182</c:v>
                </c:pt>
                <c:pt idx="930">
                  <c:v>711.72888807733182</c:v>
                </c:pt>
                <c:pt idx="931">
                  <c:v>711.72888807733182</c:v>
                </c:pt>
                <c:pt idx="932">
                  <c:v>711.72888807733182</c:v>
                </c:pt>
                <c:pt idx="933">
                  <c:v>711.72888807733182</c:v>
                </c:pt>
                <c:pt idx="934">
                  <c:v>711.72888807733182</c:v>
                </c:pt>
                <c:pt idx="935">
                  <c:v>711.72888807733182</c:v>
                </c:pt>
                <c:pt idx="936">
                  <c:v>711.72888807733182</c:v>
                </c:pt>
                <c:pt idx="937">
                  <c:v>711.72888807733182</c:v>
                </c:pt>
                <c:pt idx="938">
                  <c:v>711.72888807733182</c:v>
                </c:pt>
                <c:pt idx="939">
                  <c:v>711.72888807733182</c:v>
                </c:pt>
                <c:pt idx="940">
                  <c:v>711.72888807733182</c:v>
                </c:pt>
                <c:pt idx="941">
                  <c:v>711.72888807733182</c:v>
                </c:pt>
                <c:pt idx="942">
                  <c:v>711.72888807733182</c:v>
                </c:pt>
                <c:pt idx="943">
                  <c:v>711.72888807733182</c:v>
                </c:pt>
                <c:pt idx="944">
                  <c:v>711.72888807733182</c:v>
                </c:pt>
                <c:pt idx="945">
                  <c:v>711.72888807733182</c:v>
                </c:pt>
                <c:pt idx="946">
                  <c:v>711.72888807733182</c:v>
                </c:pt>
                <c:pt idx="947">
                  <c:v>711.72888807733182</c:v>
                </c:pt>
                <c:pt idx="948">
                  <c:v>711.72888807733182</c:v>
                </c:pt>
                <c:pt idx="949">
                  <c:v>711.72888807733182</c:v>
                </c:pt>
                <c:pt idx="950">
                  <c:v>711.72888807733182</c:v>
                </c:pt>
                <c:pt idx="951">
                  <c:v>711.72888807733182</c:v>
                </c:pt>
                <c:pt idx="952">
                  <c:v>711.72888807733182</c:v>
                </c:pt>
                <c:pt idx="953">
                  <c:v>711.72888807733182</c:v>
                </c:pt>
                <c:pt idx="954">
                  <c:v>711.72888807733182</c:v>
                </c:pt>
                <c:pt idx="955">
                  <c:v>711.72888807733182</c:v>
                </c:pt>
                <c:pt idx="956">
                  <c:v>711.72888807733182</c:v>
                </c:pt>
                <c:pt idx="957">
                  <c:v>711.72888807733182</c:v>
                </c:pt>
                <c:pt idx="958">
                  <c:v>711.72888807733182</c:v>
                </c:pt>
                <c:pt idx="959">
                  <c:v>711.72888807733182</c:v>
                </c:pt>
                <c:pt idx="960">
                  <c:v>711.72888807733182</c:v>
                </c:pt>
                <c:pt idx="961">
                  <c:v>711.72888807733182</c:v>
                </c:pt>
                <c:pt idx="962">
                  <c:v>711.72888807733182</c:v>
                </c:pt>
                <c:pt idx="963">
                  <c:v>711.72888807733182</c:v>
                </c:pt>
                <c:pt idx="964">
                  <c:v>711.72888807733182</c:v>
                </c:pt>
                <c:pt idx="965">
                  <c:v>711.72888807733182</c:v>
                </c:pt>
                <c:pt idx="966">
                  <c:v>711.72888807733182</c:v>
                </c:pt>
                <c:pt idx="967">
                  <c:v>711.72888807733182</c:v>
                </c:pt>
                <c:pt idx="968">
                  <c:v>711.72888807733182</c:v>
                </c:pt>
                <c:pt idx="969">
                  <c:v>711.72888807733182</c:v>
                </c:pt>
                <c:pt idx="970">
                  <c:v>711.72888807733182</c:v>
                </c:pt>
                <c:pt idx="971">
                  <c:v>711.72888807733182</c:v>
                </c:pt>
                <c:pt idx="972">
                  <c:v>711.72888807733182</c:v>
                </c:pt>
                <c:pt idx="973">
                  <c:v>711.72888807733182</c:v>
                </c:pt>
                <c:pt idx="974">
                  <c:v>711.72888807733182</c:v>
                </c:pt>
                <c:pt idx="975">
                  <c:v>711.72888807733182</c:v>
                </c:pt>
                <c:pt idx="976">
                  <c:v>711.72888807733182</c:v>
                </c:pt>
                <c:pt idx="977">
                  <c:v>711.72888807733182</c:v>
                </c:pt>
                <c:pt idx="978">
                  <c:v>711.72888807733182</c:v>
                </c:pt>
                <c:pt idx="979">
                  <c:v>711.72888807733182</c:v>
                </c:pt>
                <c:pt idx="980">
                  <c:v>711.72888807733182</c:v>
                </c:pt>
                <c:pt idx="981">
                  <c:v>711.72888807733182</c:v>
                </c:pt>
                <c:pt idx="982">
                  <c:v>711.72888807733182</c:v>
                </c:pt>
                <c:pt idx="983">
                  <c:v>711.72888807733182</c:v>
                </c:pt>
                <c:pt idx="984">
                  <c:v>711.72888807733182</c:v>
                </c:pt>
                <c:pt idx="985">
                  <c:v>711.72888807733182</c:v>
                </c:pt>
                <c:pt idx="986">
                  <c:v>711.72888807733182</c:v>
                </c:pt>
                <c:pt idx="987">
                  <c:v>711.72888807733182</c:v>
                </c:pt>
                <c:pt idx="988">
                  <c:v>711.72888807733182</c:v>
                </c:pt>
                <c:pt idx="989">
                  <c:v>711.72888807733182</c:v>
                </c:pt>
                <c:pt idx="990">
                  <c:v>711.72888807733182</c:v>
                </c:pt>
                <c:pt idx="991">
                  <c:v>711.72888807733182</c:v>
                </c:pt>
                <c:pt idx="992">
                  <c:v>711.72888807733182</c:v>
                </c:pt>
                <c:pt idx="993">
                  <c:v>711.72888807733182</c:v>
                </c:pt>
                <c:pt idx="994">
                  <c:v>711.72888807733182</c:v>
                </c:pt>
                <c:pt idx="995">
                  <c:v>711.72888807733182</c:v>
                </c:pt>
                <c:pt idx="996">
                  <c:v>711.72888807733182</c:v>
                </c:pt>
                <c:pt idx="997">
                  <c:v>711.72888807733182</c:v>
                </c:pt>
                <c:pt idx="998">
                  <c:v>711.72888807733182</c:v>
                </c:pt>
                <c:pt idx="999">
                  <c:v>711.72888807733182</c:v>
                </c:pt>
                <c:pt idx="1000">
                  <c:v>711.72888807733182</c:v>
                </c:pt>
              </c:numCache>
            </c:numRef>
          </c:xVal>
          <c:yVal>
            <c:numRef>
              <c:f>Calculs!$K$4:$K$1004</c:f>
              <c:numCache>
                <c:formatCode>0.00</c:formatCode>
                <c:ptCount val="1001"/>
                <c:pt idx="0">
                  <c:v>497.16938386972515</c:v>
                </c:pt>
                <c:pt idx="1">
                  <c:v>498.89571863685381</c:v>
                </c:pt>
                <c:pt idx="2">
                  <c:v>500.62286602706746</c:v>
                </c:pt>
                <c:pt idx="3">
                  <c:v>502.35397500412506</c:v>
                </c:pt>
                <c:pt idx="4">
                  <c:v>504.0896126384792</c:v>
                </c:pt>
                <c:pt idx="5">
                  <c:v>505.82922692069394</c:v>
                </c:pt>
                <c:pt idx="6">
                  <c:v>507.57260713217528</c:v>
                </c:pt>
                <c:pt idx="7">
                  <c:v>509.31971309683456</c:v>
                </c:pt>
                <c:pt idx="8">
                  <c:v>511.0705047042224</c:v>
                </c:pt>
                <c:pt idx="9">
                  <c:v>512.82494191034959</c:v>
                </c:pt>
                <c:pt idx="10">
                  <c:v>514.58298473849538</c:v>
                </c:pt>
                <c:pt idx="11">
                  <c:v>516.34459328000275</c:v>
                </c:pt>
                <c:pt idx="12">
                  <c:v>518.109727695061</c:v>
                </c:pt>
                <c:pt idx="13">
                  <c:v>519.87834821347565</c:v>
                </c:pt>
                <c:pt idx="14">
                  <c:v>521.65041513542531</c:v>
                </c:pt>
                <c:pt idx="15">
                  <c:v>523.4258888322064</c:v>
                </c:pt>
                <c:pt idx="16">
                  <c:v>525.20472974696497</c:v>
                </c:pt>
                <c:pt idx="17">
                  <c:v>526.98689839541555</c:v>
                </c:pt>
                <c:pt idx="18">
                  <c:v>528.77235536654837</c:v>
                </c:pt>
                <c:pt idx="19">
                  <c:v>530.56106132332297</c:v>
                </c:pt>
                <c:pt idx="20">
                  <c:v>532.35297700335036</c:v>
                </c:pt>
                <c:pt idx="21">
                  <c:v>534.14806321956223</c:v>
                </c:pt>
                <c:pt idx="22">
                  <c:v>535.94628086086789</c:v>
                </c:pt>
                <c:pt idx="23">
                  <c:v>537.74759089279883</c:v>
                </c:pt>
                <c:pt idx="24">
                  <c:v>539.5519543581413</c:v>
                </c:pt>
                <c:pt idx="25">
                  <c:v>541.35933237755637</c:v>
                </c:pt>
                <c:pt idx="26">
                  <c:v>543.16968615018823</c:v>
                </c:pt>
                <c:pt idx="27">
                  <c:v>544.98297695425981</c:v>
                </c:pt>
                <c:pt idx="28">
                  <c:v>546.79916614765705</c:v>
                </c:pt>
                <c:pt idx="29">
                  <c:v>548.61821516850068</c:v>
                </c:pt>
                <c:pt idx="30">
                  <c:v>550.44008553570643</c:v>
                </c:pt>
                <c:pt idx="31">
                  <c:v>552.26473884953316</c:v>
                </c:pt>
                <c:pt idx="32">
                  <c:v>554.09213679211916</c:v>
                </c:pt>
                <c:pt idx="33">
                  <c:v>555.92224112800693</c:v>
                </c:pt>
                <c:pt idx="34">
                  <c:v>557.75501370465633</c:v>
                </c:pt>
                <c:pt idx="35">
                  <c:v>559.59041645294565</c:v>
                </c:pt>
                <c:pt idx="36">
                  <c:v>561.42841138766175</c:v>
                </c:pt>
                <c:pt idx="37">
                  <c:v>563.26896060797856</c:v>
                </c:pt>
                <c:pt idx="38">
                  <c:v>565.11202629792365</c:v>
                </c:pt>
                <c:pt idx="39">
                  <c:v>566.95757072683443</c:v>
                </c:pt>
                <c:pt idx="40">
                  <c:v>568.80555624980207</c:v>
                </c:pt>
                <c:pt idx="41">
                  <c:v>570.65594530810483</c:v>
                </c:pt>
                <c:pt idx="42">
                  <c:v>572.50870042963038</c:v>
                </c:pt>
                <c:pt idx="43">
                  <c:v>574.36378422928669</c:v>
                </c:pt>
                <c:pt idx="44">
                  <c:v>576.22115940940182</c:v>
                </c:pt>
                <c:pt idx="45">
                  <c:v>578.08078876011325</c:v>
                </c:pt>
                <c:pt idx="46">
                  <c:v>579.94263515974637</c:v>
                </c:pt>
                <c:pt idx="47">
                  <c:v>581.80666157518158</c:v>
                </c:pt>
                <c:pt idx="48">
                  <c:v>583.67283106221134</c:v>
                </c:pt>
                <c:pt idx="49">
                  <c:v>585.54110676588652</c:v>
                </c:pt>
                <c:pt idx="50">
                  <c:v>587.41145192085196</c:v>
                </c:pt>
                <c:pt idx="51">
                  <c:v>589.28382985167161</c:v>
                </c:pt>
                <c:pt idx="52">
                  <c:v>591.15820397314349</c:v>
                </c:pt>
                <c:pt idx="53">
                  <c:v>593.03453779060419</c:v>
                </c:pt>
                <c:pt idx="54">
                  <c:v>594.91279490022328</c:v>
                </c:pt>
                <c:pt idx="55">
                  <c:v>596.79293898928722</c:v>
                </c:pt>
                <c:pt idx="56">
                  <c:v>598.67493383647388</c:v>
                </c:pt>
                <c:pt idx="57">
                  <c:v>600.55874331211612</c:v>
                </c:pt>
                <c:pt idx="58">
                  <c:v>602.44433137845647</c:v>
                </c:pt>
                <c:pt idx="59">
                  <c:v>604.33166208989121</c:v>
                </c:pt>
                <c:pt idx="60">
                  <c:v>606.22069959320504</c:v>
                </c:pt>
                <c:pt idx="61">
                  <c:v>608.11140812779593</c:v>
                </c:pt>
                <c:pt idx="62">
                  <c:v>610.00375202589078</c:v>
                </c:pt>
                <c:pt idx="63">
                  <c:v>611.89768087486266</c:v>
                </c:pt>
                <c:pt idx="64">
                  <c:v>613.79311471546873</c:v>
                </c:pt>
                <c:pt idx="65">
                  <c:v>615.68995896065621</c:v>
                </c:pt>
                <c:pt idx="66">
                  <c:v>617.58811927899751</c:v>
                </c:pt>
                <c:pt idx="67">
                  <c:v>619.48748799290047</c:v>
                </c:pt>
                <c:pt idx="68">
                  <c:v>621.38793051129596</c:v>
                </c:pt>
                <c:pt idx="69">
                  <c:v>623.28927481555581</c:v>
                </c:pt>
                <c:pt idx="70">
                  <c:v>625.19130097568188</c:v>
                </c:pt>
                <c:pt idx="71">
                  <c:v>627.09376548942146</c:v>
                </c:pt>
                <c:pt idx="72">
                  <c:v>628.99642555996002</c:v>
                </c:pt>
                <c:pt idx="73">
                  <c:v>630.89903910368525</c:v>
                </c:pt>
                <c:pt idx="74">
                  <c:v>632.80136475756046</c:v>
                </c:pt>
                <c:pt idx="75">
                  <c:v>634.70316188611059</c:v>
                </c:pt>
                <c:pt idx="76">
                  <c:v>636.60419058802518</c:v>
                </c:pt>
                <c:pt idx="77">
                  <c:v>638.50421170238076</c:v>
                </c:pt>
                <c:pt idx="78">
                  <c:v>640.40298681448792</c:v>
                </c:pt>
                <c:pt idx="79">
                  <c:v>642.30027826136597</c:v>
                </c:pt>
                <c:pt idx="80">
                  <c:v>644.1958491368498</c:v>
                </c:pt>
                <c:pt idx="81">
                  <c:v>646.08949207993192</c:v>
                </c:pt>
                <c:pt idx="82">
                  <c:v>647.98105796915502</c:v>
                </c:pt>
                <c:pt idx="83">
                  <c:v>649.87042694992761</c:v>
                </c:pt>
                <c:pt idx="84">
                  <c:v>651.75747955317843</c:v>
                </c:pt>
                <c:pt idx="85">
                  <c:v>653.64209669501372</c:v>
                </c:pt>
                <c:pt idx="86">
                  <c:v>655.52415967629292</c:v>
                </c:pt>
                <c:pt idx="87">
                  <c:v>657.40355018212347</c:v>
                </c:pt>
                <c:pt idx="88">
                  <c:v>659.28015028127641</c:v>
                </c:pt>
                <c:pt idx="89">
                  <c:v>661.1538515192068</c:v>
                </c:pt>
                <c:pt idx="90">
                  <c:v>663.02456398013078</c:v>
                </c:pt>
                <c:pt idx="91">
                  <c:v>664.89220713015084</c:v>
                </c:pt>
                <c:pt idx="92">
                  <c:v>666.7567006911047</c:v>
                </c:pt>
                <c:pt idx="93">
                  <c:v>668.61796691311338</c:v>
                </c:pt>
                <c:pt idx="94">
                  <c:v>670.47593283928597</c:v>
                </c:pt>
                <c:pt idx="95">
                  <c:v>672.33052801527538</c:v>
                </c:pt>
                <c:pt idx="96">
                  <c:v>674.18168220664199</c:v>
                </c:pt>
                <c:pt idx="97">
                  <c:v>676.02933449238003</c:v>
                </c:pt>
                <c:pt idx="98">
                  <c:v>677.87344232687974</c:v>
                </c:pt>
                <c:pt idx="99">
                  <c:v>679.71397238116106</c:v>
                </c:pt>
                <c:pt idx="100">
                  <c:v>681.5508914158836</c:v>
                </c:pt>
                <c:pt idx="101">
                  <c:v>683.38416628063533</c:v>
                </c:pt>
                <c:pt idx="102">
                  <c:v>685.21376391321951</c:v>
                </c:pt>
                <c:pt idx="103">
                  <c:v>687.03965133894042</c:v>
                </c:pt>
                <c:pt idx="104">
                  <c:v>688.86179566988733</c:v>
                </c:pt>
                <c:pt idx="105">
                  <c:v>690.68016410421751</c:v>
                </c:pt>
                <c:pt idx="106">
                  <c:v>692.49472392543805</c:v>
                </c:pt>
                <c:pt idx="107">
                  <c:v>694.30544250168589</c:v>
                </c:pt>
                <c:pt idx="108">
                  <c:v>696.11228728500714</c:v>
                </c:pt>
                <c:pt idx="109">
                  <c:v>697.91523717679945</c:v>
                </c:pt>
                <c:pt idx="110">
                  <c:v>699.7142938537495</c:v>
                </c:pt>
                <c:pt idx="111">
                  <c:v>701.50947032298427</c:v>
                </c:pt>
                <c:pt idx="112">
                  <c:v>703.30077951737087</c:v>
                </c:pt>
                <c:pt idx="113">
                  <c:v>705.0882342960798</c:v>
                </c:pt>
                <c:pt idx="114">
                  <c:v>706.87184744514286</c:v>
                </c:pt>
                <c:pt idx="115">
                  <c:v>708.65163167800574</c:v>
                </c:pt>
                <c:pt idx="116">
                  <c:v>710.42759963607534</c:v>
                </c:pt>
                <c:pt idx="117">
                  <c:v>712.19976388926204</c:v>
                </c:pt>
                <c:pt idx="118">
                  <c:v>713.96813693651632</c:v>
                </c:pt>
                <c:pt idx="119">
                  <c:v>715.73273120636122</c:v>
                </c:pt>
                <c:pt idx="120">
                  <c:v>717.49355905741902</c:v>
                </c:pt>
                <c:pt idx="121">
                  <c:v>719.2506327789331</c:v>
                </c:pt>
                <c:pt idx="122">
                  <c:v>721.00396459128535</c:v>
                </c:pt>
                <c:pt idx="123">
                  <c:v>722.75356664650815</c:v>
                </c:pt>
                <c:pt idx="124">
                  <c:v>724.49945102879201</c:v>
                </c:pt>
                <c:pt idx="125">
                  <c:v>726.24162975498814</c:v>
                </c:pt>
                <c:pt idx="126">
                  <c:v>727.98011477510659</c:v>
                </c:pt>
                <c:pt idx="127">
                  <c:v>729.71491797280953</c:v>
                </c:pt>
                <c:pt idx="128">
                  <c:v>731.44605116590037</c:v>
                </c:pt>
                <c:pt idx="129">
                  <c:v>733.1735261068078</c:v>
                </c:pt>
                <c:pt idx="130">
                  <c:v>734.89735448306567</c:v>
                </c:pt>
                <c:pt idx="131">
                  <c:v>736.61754791778844</c:v>
                </c:pt>
                <c:pt idx="132">
                  <c:v>738.3341179701423</c:v>
                </c:pt>
                <c:pt idx="133">
                  <c:v>740.04707613581149</c:v>
                </c:pt>
                <c:pt idx="134">
                  <c:v>741.75643384746127</c:v>
                </c:pt>
                <c:pt idx="135">
                  <c:v>743.46220247519568</c:v>
                </c:pt>
                <c:pt idx="136">
                  <c:v>745.16439332701157</c:v>
                </c:pt>
                <c:pt idx="137">
                  <c:v>746.86301764924883</c:v>
                </c:pt>
                <c:pt idx="138">
                  <c:v>748.55808662703555</c:v>
                </c:pt>
                <c:pt idx="139">
                  <c:v>750.24961138473031</c:v>
                </c:pt>
                <c:pt idx="140">
                  <c:v>751.93760298635937</c:v>
                </c:pt>
                <c:pt idx="141">
                  <c:v>753.62207243605087</c:v>
                </c:pt>
                <c:pt idx="142">
                  <c:v>755.30303067846421</c:v>
                </c:pt>
                <c:pt idx="143">
                  <c:v>756.9804885992163</c:v>
                </c:pt>
                <c:pt idx="144">
                  <c:v>758.6544570253036</c:v>
                </c:pt>
                <c:pt idx="145">
                  <c:v>760.32494672552025</c:v>
                </c:pt>
                <c:pt idx="146">
                  <c:v>761.9919684108728</c:v>
                </c:pt>
                <c:pt idx="147">
                  <c:v>763.65553273499086</c:v>
                </c:pt>
                <c:pt idx="148">
                  <c:v>765.31565029453463</c:v>
                </c:pt>
                <c:pt idx="149">
                  <c:v>766.9723316295981</c:v>
                </c:pt>
                <c:pt idx="150">
                  <c:v>768.62558722410893</c:v>
                </c:pt>
                <c:pt idx="151">
                  <c:v>770.27542750622513</c:v>
                </c:pt>
                <c:pt idx="152">
                  <c:v>771.92186284872776</c:v>
                </c:pt>
                <c:pt idx="153">
                  <c:v>773.56490356941026</c:v>
                </c:pt>
                <c:pt idx="154">
                  <c:v>775.20455993146459</c:v>
                </c:pt>
                <c:pt idx="155">
                  <c:v>776.84084214386348</c:v>
                </c:pt>
                <c:pt idx="156">
                  <c:v>778.47376036173966</c:v>
                </c:pt>
                <c:pt idx="157">
                  <c:v>780.10332468676199</c:v>
                </c:pt>
                <c:pt idx="158">
                  <c:v>781.72954516750758</c:v>
                </c:pt>
                <c:pt idx="159">
                  <c:v>783.35243179983115</c:v>
                </c:pt>
                <c:pt idx="160">
                  <c:v>784.97199452723135</c:v>
                </c:pt>
                <c:pt idx="161">
                  <c:v>786.58824324121304</c:v>
                </c:pt>
                <c:pt idx="162">
                  <c:v>788.2011877816476</c:v>
                </c:pt>
                <c:pt idx="163">
                  <c:v>789.81083793712889</c:v>
                </c:pt>
                <c:pt idx="164">
                  <c:v>791.417203445327</c:v>
                </c:pt>
                <c:pt idx="165">
                  <c:v>793.02029399333867</c:v>
                </c:pt>
                <c:pt idx="166">
                  <c:v>794.62011921803446</c:v>
                </c:pt>
                <c:pt idx="167">
                  <c:v>796.21668870640315</c:v>
                </c:pt>
                <c:pt idx="168">
                  <c:v>797.81001199589298</c:v>
                </c:pt>
                <c:pt idx="169">
                  <c:v>799.40009857475036</c:v>
                </c:pt>
                <c:pt idx="170">
                  <c:v>800.98695788235523</c:v>
                </c:pt>
                <c:pt idx="171">
                  <c:v>802.57059930955359</c:v>
                </c:pt>
                <c:pt idx="172">
                  <c:v>804.15103219898754</c:v>
                </c:pt>
                <c:pt idx="173">
                  <c:v>805.7282658454219</c:v>
                </c:pt>
                <c:pt idx="174">
                  <c:v>807.3023094960688</c:v>
                </c:pt>
                <c:pt idx="175">
                  <c:v>808.8731723509087</c:v>
                </c:pt>
                <c:pt idx="176">
                  <c:v>810.44086356300943</c:v>
                </c:pt>
                <c:pt idx="177">
                  <c:v>812.00539223884175</c:v>
                </c:pt>
                <c:pt idx="178">
                  <c:v>813.56676743859316</c:v>
                </c:pt>
                <c:pt idx="179">
                  <c:v>815.12499817647802</c:v>
                </c:pt>
                <c:pt idx="180">
                  <c:v>816.68009342104597</c:v>
                </c:pt>
                <c:pt idx="181">
                  <c:v>818.23206209548709</c:v>
                </c:pt>
                <c:pt idx="182">
                  <c:v>819.78091307793477</c:v>
                </c:pt>
                <c:pt idx="183">
                  <c:v>821.32665520176624</c:v>
                </c:pt>
                <c:pt idx="184">
                  <c:v>822.86929725590016</c:v>
                </c:pt>
                <c:pt idx="185">
                  <c:v>824.40884798509182</c:v>
                </c:pt>
                <c:pt idx="186">
                  <c:v>825.94531609022613</c:v>
                </c:pt>
                <c:pt idx="187">
                  <c:v>827.47871022860784</c:v>
                </c:pt>
                <c:pt idx="188">
                  <c:v>829.00903901424977</c:v>
                </c:pt>
                <c:pt idx="189">
                  <c:v>830.53631101815802</c:v>
                </c:pt>
                <c:pt idx="190">
                  <c:v>832.0605347686153</c:v>
                </c:pt>
                <c:pt idx="191">
                  <c:v>833.58171875146195</c:v>
                </c:pt>
                <c:pt idx="192">
                  <c:v>835.09987141037402</c:v>
                </c:pt>
                <c:pt idx="193">
                  <c:v>836.61500114713988</c:v>
                </c:pt>
                <c:pt idx="194">
                  <c:v>838.12711632193384</c:v>
                </c:pt>
                <c:pt idx="195">
                  <c:v>839.63622525358812</c:v>
                </c:pt>
                <c:pt idx="196">
                  <c:v>841.14233621986205</c:v>
                </c:pt>
                <c:pt idx="197">
                  <c:v>842.64545745770943</c:v>
                </c:pt>
                <c:pt idx="198">
                  <c:v>844.14559716354347</c:v>
                </c:pt>
                <c:pt idx="199">
                  <c:v>845.64276349349961</c:v>
                </c:pt>
                <c:pt idx="200">
                  <c:v>847.13696456369655</c:v>
                </c:pt>
                <c:pt idx="201">
                  <c:v>861.91651145098501</c:v>
                </c:pt>
                <c:pt idx="202">
                  <c:v>876.40471072443597</c:v>
                </c:pt>
                <c:pt idx="203">
                  <c:v>890.60930823471767</c:v>
                </c:pt>
                <c:pt idx="204">
                  <c:v>904.53768176716221</c:v>
                </c:pt>
                <c:pt idx="205">
                  <c:v>918.19686378102733</c:v>
                </c:pt>
                <c:pt idx="206">
                  <c:v>931.59356239756562</c:v>
                </c:pt>
                <c:pt idx="207">
                  <c:v>944.73418079687815</c:v>
                </c:pt>
                <c:pt idx="208">
                  <c:v>957.62483516666873</c:v>
                </c:pt>
                <c:pt idx="209">
                  <c:v>970.27137133116059</c:v>
                </c:pt>
                <c:pt idx="210">
                  <c:v>982.67938017532163</c:v>
                </c:pt>
                <c:pt idx="211">
                  <c:v>994.85421196794755</c:v>
                </c:pt>
                <c:pt idx="212">
                  <c:v>1006.8009896768708</c:v>
                </c:pt>
                <c:pt idx="213">
                  <c:v>1018.5246213604394</c:v>
                </c:pt>
                <c:pt idx="214">
                  <c:v>1030.0298117112916</c:v>
                </c:pt>
                <c:pt idx="215">
                  <c:v>1041.3210728212212</c:v>
                </c:pt>
                <c:pt idx="216">
                  <c:v>1052.4027342294735</c:v>
                </c:pt>
                <c:pt idx="217">
                  <c:v>1063.2789523110446</c:v>
                </c:pt>
                <c:pt idx="218">
                  <c:v>1073.9537190563881</c:v>
                </c:pt>
                <c:pt idx="219">
                  <c:v>1084.4308702893049</c:v>
                </c:pt>
                <c:pt idx="220">
                  <c:v>1094.7140933656283</c:v>
                </c:pt>
                <c:pt idx="221">
                  <c:v>1104.8069343915781</c:v>
                </c:pt>
                <c:pt idx="222">
                  <c:v>1114.7128049972871</c:v>
                </c:pt>
                <c:pt idx="223">
                  <c:v>1124.4349886979628</c:v>
                </c:pt>
                <c:pt idx="224">
                  <c:v>1133.9766468724047</c:v>
                </c:pt>
                <c:pt idx="225">
                  <c:v>1143.3408243861154</c:v>
                </c:pt>
                <c:pt idx="226">
                  <c:v>1152.5304548839938</c:v>
                </c:pt>
                <c:pt idx="227">
                  <c:v>1161.5483657755656</c:v>
                </c:pt>
                <c:pt idx="228">
                  <c:v>1170.3972829338527</c:v>
                </c:pt>
                <c:pt idx="229">
                  <c:v>1179.0798351273077</c:v>
                </c:pt>
                <c:pt idx="230">
                  <c:v>1187.5985582027042</c:v>
                </c:pt>
                <c:pt idx="231">
                  <c:v>1195.9558990354885</c:v>
                </c:pt>
                <c:pt idx="232">
                  <c:v>1204.1542192628228</c:v>
                </c:pt>
                <c:pt idx="233">
                  <c:v>1212.1957988133934</c:v>
                </c:pt>
                <c:pt idx="234">
                  <c:v>1220.0828392469994</c:v>
                </c:pt>
                <c:pt idx="235">
                  <c:v>1227.8174669159669</c:v>
                </c:pt>
                <c:pt idx="236">
                  <c:v>1235.4017359595475</c:v>
                </c:pt>
                <c:pt idx="237">
                  <c:v>1242.8376311416487</c:v>
                </c:pt>
                <c:pt idx="238">
                  <c:v>1250.1270705414959</c:v>
                </c:pt>
                <c:pt idx="239">
                  <c:v>1257.2719081061441</c:v>
                </c:pt>
                <c:pt idx="240">
                  <c:v>1264.2739360731264</c:v>
                </c:pt>
                <c:pt idx="241">
                  <c:v>1271.1348872709498</c:v>
                </c:pt>
                <c:pt idx="242">
                  <c:v>1277.8564373046145</c:v>
                </c:pt>
                <c:pt idx="243">
                  <c:v>1284.4402066328453</c:v>
                </c:pt>
                <c:pt idx="244">
                  <c:v>1290.8877625432706</c:v>
                </c:pt>
                <c:pt idx="245">
                  <c:v>1297.2006210313668</c:v>
                </c:pt>
                <c:pt idx="246">
                  <c:v>1303.3802485886022</c:v>
                </c:pt>
                <c:pt idx="247">
                  <c:v>1309.4280639048604</c:v>
                </c:pt>
                <c:pt idx="248">
                  <c:v>1315.3454394898936</c:v>
                </c:pt>
                <c:pt idx="249">
                  <c:v>1321.1337032182519</c:v>
                </c:pt>
                <c:pt idx="250">
                  <c:v>1326.7941398018568</c:v>
                </c:pt>
                <c:pt idx="251">
                  <c:v>1332.3279921941271</c:v>
                </c:pt>
                <c:pt idx="252">
                  <c:v>1337.7364629293234</c:v>
                </c:pt>
                <c:pt idx="253">
                  <c:v>1343.020715400557</c:v>
                </c:pt>
                <c:pt idx="254">
                  <c:v>1348.1818750797065</c:v>
                </c:pt>
                <c:pt idx="255">
                  <c:v>1353.2210306822901</c:v>
                </c:pt>
                <c:pt idx="256">
                  <c:v>1358.1392352801724</c:v>
                </c:pt>
                <c:pt idx="257">
                  <c:v>1362.9375073648184</c:v>
                </c:pt>
                <c:pt idx="258">
                  <c:v>1367.6168318636637</c:v>
                </c:pt>
                <c:pt idx="259">
                  <c:v>1372.1781611120282</c:v>
                </c:pt>
                <c:pt idx="260">
                  <c:v>1376.6224157828801</c:v>
                </c:pt>
                <c:pt idx="261">
                  <c:v>1380.9504857766406</c:v>
                </c:pt>
                <c:pt idx="262">
                  <c:v>1385.1632310731152</c:v>
                </c:pt>
                <c:pt idx="263">
                  <c:v>1389.2614825475503</c:v>
                </c:pt>
                <c:pt idx="264">
                  <c:v>1393.2460427527217</c:v>
                </c:pt>
                <c:pt idx="265">
                  <c:v>1397.1176866688968</c:v>
                </c:pt>
                <c:pt idx="266">
                  <c:v>1400.8771624234441</c:v>
                </c:pt>
                <c:pt idx="267">
                  <c:v>1404.5251919818138</c:v>
                </c:pt>
                <c:pt idx="268">
                  <c:v>1408.0624718115669</c:v>
                </c:pt>
                <c:pt idx="269">
                  <c:v>1411.4896735211021</c:v>
                </c:pt>
                <c:pt idx="270">
                  <c:v>1414.8074444747053</c:v>
                </c:pt>
                <c:pt idx="271">
                  <c:v>1418.0164083855402</c:v>
                </c:pt>
                <c:pt idx="272">
                  <c:v>1421.1171658881976</c:v>
                </c:pt>
                <c:pt idx="273">
                  <c:v>1424.1102950924433</c:v>
                </c:pt>
                <c:pt idx="274">
                  <c:v>1426.9963521198263</c:v>
                </c:pt>
                <c:pt idx="275">
                  <c:v>1429.775871624867</c:v>
                </c:pt>
                <c:pt idx="276">
                  <c:v>1432.4493673025966</c:v>
                </c:pt>
                <c:pt idx="277">
                  <c:v>1435.0173323843062</c:v>
                </c:pt>
                <c:pt idx="278">
                  <c:v>1437.480240123466</c:v>
                </c:pt>
                <c:pt idx="279">
                  <c:v>1439.8385442738902</c:v>
                </c:pt>
                <c:pt idx="280">
                  <c:v>1442.0926795623748</c:v>
                </c:pt>
                <c:pt idx="281">
                  <c:v>1444.2430621581937</c:v>
                </c:pt>
                <c:pt idx="282">
                  <c:v>1446.2900901420362</c:v>
                </c:pt>
                <c:pt idx="283">
                  <c:v>1448.2341439771728</c:v>
                </c:pt>
                <c:pt idx="284">
                  <c:v>1450.0755869858763</c:v>
                </c:pt>
                <c:pt idx="285">
                  <c:v>1451.8147658343685</c:v>
                </c:pt>
                <c:pt idx="286">
                  <c:v>1453.4520110298265</c:v>
                </c:pt>
                <c:pt idx="287">
                  <c:v>1454.9876374332403</c:v>
                </c:pt>
                <c:pt idx="288">
                  <c:v>1456.4219447921628</c:v>
                </c:pt>
                <c:pt idx="289">
                  <c:v>1457.7552182976133</c:v>
                </c:pt>
                <c:pt idx="290">
                  <c:v>1458.9877291695527</c:v>
                </c:pt>
                <c:pt idx="291">
                  <c:v>1460.119735275435</c:v>
                </c:pt>
                <c:pt idx="292">
                  <c:v>1461.1514817862901</c:v>
                </c:pt>
                <c:pt idx="293">
                  <c:v>1462.083201874603</c:v>
                </c:pt>
                <c:pt idx="294">
                  <c:v>1462.9151174578424</c:v>
                </c:pt>
                <c:pt idx="295">
                  <c:v>1463.6474399908566</c:v>
                </c:pt>
                <c:pt idx="296">
                  <c:v>1464.2803713094268</c:v>
                </c:pt>
                <c:pt idx="297">
                  <c:v>1464.8141045260568</c:v>
                </c:pt>
                <c:pt idx="298">
                  <c:v>1465.2488249775708</c:v>
                </c:pt>
                <c:pt idx="299">
                  <c:v>1465.5847112223169</c:v>
                </c:pt>
                <c:pt idx="300">
                  <c:v>1465.8219360828161</c:v>
                </c:pt>
                <c:pt idx="301">
                  <c:v>1465.9606677276442</c:v>
                </c:pt>
                <c:pt idx="302">
                  <c:v>1466.0010707843194</c:v>
                </c:pt>
                <c:pt idx="303">
                  <c:v>1465.9433074731642</c:v>
                </c:pt>
                <c:pt idx="304">
                  <c:v>1465.7875387506494</c:v>
                </c:pt>
                <c:pt idx="305">
                  <c:v>1465.5339254497608</c:v>
                </c:pt>
                <c:pt idx="306">
                  <c:v>1465.182629404547</c:v>
                </c:pt>
                <c:pt idx="307">
                  <c:v>1464.7338145462566</c:v>
                </c:pt>
                <c:pt idx="308">
                  <c:v>1464.1876479593079</c:v>
                </c:pt>
                <c:pt idx="309">
                  <c:v>1463.5443008867126</c:v>
                </c:pt>
                <c:pt idx="310">
                  <c:v>1462.8039496763211</c:v>
                </c:pt>
                <c:pt idx="311">
                  <c:v>1461.9667766612552</c:v>
                </c:pt>
                <c:pt idx="312">
                  <c:v>1461.0329709699633</c:v>
                </c:pt>
                <c:pt idx="313">
                  <c:v>1460.0027292633401</c:v>
                </c:pt>
                <c:pt idx="314">
                  <c:v>1458.8762563981816</c:v>
                </c:pt>
                <c:pt idx="315">
                  <c:v>1457.6537660178192</c:v>
                </c:pt>
                <c:pt idx="316">
                  <c:v>1456.3354810720582</c:v>
                </c:pt>
                <c:pt idx="317">
                  <c:v>1454.9216342695106</c:v>
                </c:pt>
                <c:pt idx="318">
                  <c:v>1453.4124684661058</c:v>
                </c:pt>
                <c:pt idx="319">
                  <c:v>1451.8082369939816</c:v>
                </c:pt>
                <c:pt idx="320">
                  <c:v>1450.1092039351695</c:v>
                </c:pt>
                <c:pt idx="321">
                  <c:v>1448.3156443445296</c:v>
                </c:pt>
                <c:pt idx="322">
                  <c:v>1446.4278444262925</c:v>
                </c:pt>
                <c:pt idx="323">
                  <c:v>1444.4461016683847</c:v>
                </c:pt>
                <c:pt idx="324">
                  <c:v>1442.370724938464</c:v>
                </c:pt>
                <c:pt idx="325">
                  <c:v>1440.202034545312</c:v>
                </c:pt>
                <c:pt idx="326">
                  <c:v>1437.9403622689326</c:v>
                </c:pt>
                <c:pt idx="327">
                  <c:v>1435.5860513624064</c:v>
                </c:pt>
                <c:pt idx="328">
                  <c:v>1433.1394565282619</c:v>
                </c:pt>
                <c:pt idx="329">
                  <c:v>1430.6009438718504</c:v>
                </c:pt>
                <c:pt idx="330">
                  <c:v>1427.9708908339576</c:v>
                </c:pt>
                <c:pt idx="331">
                  <c:v>1425.2496861046529</c:v>
                </c:pt>
                <c:pt idx="332">
                  <c:v>1422.4377295201671</c:v>
                </c:pt>
                <c:pt idx="333">
                  <c:v>1419.5354319443991</c:v>
                </c:pt>
                <c:pt idx="334">
                  <c:v>1416.5432151364894</c:v>
                </c:pt>
                <c:pt idx="335">
                  <c:v>1413.461511605745</c:v>
                </c:pt>
                <c:pt idx="336">
                  <c:v>1410.2907644550721</c:v>
                </c:pt>
                <c:pt idx="337">
                  <c:v>1407.0314272139569</c:v>
                </c:pt>
                <c:pt idx="338">
                  <c:v>1403.6839636619377</c:v>
                </c:pt>
                <c:pt idx="339">
                  <c:v>1400.2488476434173</c:v>
                </c:pt>
                <c:pt idx="340">
                  <c:v>1396.7265628745949</c:v>
                </c:pt>
                <c:pt idx="341">
                  <c:v>1393.1176027432225</c:v>
                </c:pt>
                <c:pt idx="342">
                  <c:v>1389.4224701018388</c:v>
                </c:pt>
                <c:pt idx="343">
                  <c:v>1385.6416770550761</c:v>
                </c:pt>
                <c:pt idx="344">
                  <c:v>1381.7757447415947</c:v>
                </c:pt>
                <c:pt idx="345">
                  <c:v>1377.8252031111583</c:v>
                </c:pt>
                <c:pt idx="346">
                  <c:v>1373.7905906973285</c:v>
                </c:pt>
                <c:pt idx="347">
                  <c:v>1369.6724543862269</c:v>
                </c:pt>
                <c:pt idx="348">
                  <c:v>1365.4713491817849</c:v>
                </c:pt>
                <c:pt idx="349">
                  <c:v>1361.187837967879</c:v>
                </c:pt>
                <c:pt idx="350">
                  <c:v>1356.8224912677242</c:v>
                </c:pt>
                <c:pt idx="351">
                  <c:v>1352.3758870008837</c:v>
                </c:pt>
                <c:pt idx="352">
                  <c:v>1347.8486102382299</c:v>
                </c:pt>
                <c:pt idx="353">
                  <c:v>1343.2412529551812</c:v>
                </c:pt>
                <c:pt idx="354">
                  <c:v>1338.5544137835193</c:v>
                </c:pt>
                <c:pt idx="355">
                  <c:v>1333.7886977620844</c:v>
                </c:pt>
                <c:pt idx="356">
                  <c:v>1328.9447160866268</c:v>
                </c:pt>
                <c:pt idx="357">
                  <c:v>1324.0230858590865</c:v>
                </c:pt>
                <c:pt idx="358">
                  <c:v>1319.0244298365599</c:v>
                </c:pt>
                <c:pt idx="359">
                  <c:v>1313.9493761802044</c:v>
                </c:pt>
                <c:pt idx="360">
                  <c:v>1308.7985582043175</c:v>
                </c:pt>
                <c:pt idx="361">
                  <c:v>1303.5726141258235</c:v>
                </c:pt>
                <c:pt idx="362">
                  <c:v>1298.2721868143885</c:v>
                </c:pt>
                <c:pt idx="363">
                  <c:v>1292.8979235433762</c:v>
                </c:pt>
                <c:pt idx="364">
                  <c:v>1287.4504757418517</c:v>
                </c:pt>
                <c:pt idx="365">
                  <c:v>1281.9304987478276</c:v>
                </c:pt>
                <c:pt idx="366">
                  <c:v>1276.3386515629445</c:v>
                </c:pt>
                <c:pt idx="367">
                  <c:v>1270.6755966087658</c:v>
                </c:pt>
                <c:pt idx="368">
                  <c:v>1264.9419994848622</c:v>
                </c:pt>
                <c:pt idx="369">
                  <c:v>1259.1385287288529</c:v>
                </c:pt>
                <c:pt idx="370">
                  <c:v>1253.2658555785631</c:v>
                </c:pt>
                <c:pt idx="371">
                  <c:v>1247.3246537364528</c:v>
                </c:pt>
                <c:pt idx="372">
                  <c:v>1241.315599136459</c:v>
                </c:pt>
                <c:pt idx="373">
                  <c:v>1235.2393697133962</c:v>
                </c:pt>
                <c:pt idx="374">
                  <c:v>1229.0966451750421</c:v>
                </c:pt>
                <c:pt idx="375">
                  <c:v>1222.8881067770401</c:v>
                </c:pt>
                <c:pt idx="376">
                  <c:v>1216.6144371007322</c:v>
                </c:pt>
                <c:pt idx="377">
                  <c:v>1210.2763198340401</c:v>
                </c:pt>
                <c:pt idx="378">
                  <c:v>1203.8744395554993</c:v>
                </c:pt>
                <c:pt idx="379">
                  <c:v>1197.4094815215456</c:v>
                </c:pt>
                <c:pt idx="380">
                  <c:v>1190.8821314571496</c:v>
                </c:pt>
                <c:pt idx="381">
                  <c:v>1184.293075349887</c:v>
                </c:pt>
                <c:pt idx="382">
                  <c:v>1177.6429992475246</c:v>
                </c:pt>
                <c:pt idx="383">
                  <c:v>1170.9325890592027</c:v>
                </c:pt>
                <c:pt idx="384">
                  <c:v>1164.1625303602784</c:v>
                </c:pt>
                <c:pt idx="385">
                  <c:v>1157.3335082008994</c:v>
                </c:pt>
                <c:pt idx="386">
                  <c:v>1150.4462069183635</c:v>
                </c:pt>
                <c:pt idx="387">
                  <c:v>1143.5013099533207</c:v>
                </c:pt>
                <c:pt idx="388">
                  <c:v>1136.499499669862</c:v>
                </c:pt>
                <c:pt idx="389">
                  <c:v>1129.4414571795412</c:v>
                </c:pt>
                <c:pt idx="390">
                  <c:v>1122.3278621693657</c:v>
                </c:pt>
                <c:pt idx="391">
                  <c:v>1115.1593927337885</c:v>
                </c:pt>
                <c:pt idx="392">
                  <c:v>1107.9367252107302</c:v>
                </c:pt>
                <c:pt idx="393">
                  <c:v>1100.6605340216531</c:v>
                </c:pt>
                <c:pt idx="394">
                  <c:v>1093.3314915157066</c:v>
                </c:pt>
                <c:pt idx="395">
                  <c:v>1085.9502678179549</c:v>
                </c:pt>
                <c:pt idx="396">
                  <c:v>1078.5175306817011</c:v>
                </c:pt>
                <c:pt idx="397">
                  <c:v>1071.0339453449076</c:v>
                </c:pt>
                <c:pt idx="398">
                  <c:v>1063.5001743907167</c:v>
                </c:pt>
                <c:pt idx="399">
                  <c:v>1055.9168776120684</c:v>
                </c:pt>
                <c:pt idx="400">
                  <c:v>1048.2847118804068</c:v>
                </c:pt>
                <c:pt idx="401">
                  <c:v>1040.6043310184652</c:v>
                </c:pt>
                <c:pt idx="402">
                  <c:v>1032.876385677117</c:v>
                </c:pt>
                <c:pt idx="403">
                  <c:v>1025.1015232162724</c:v>
                </c:pt>
                <c:pt idx="404">
                  <c:v>1017.2803875898013</c:v>
                </c:pt>
                <c:pt idx="405">
                  <c:v>1009.4136192344587</c:v>
                </c:pt>
                <c:pt idx="406">
                  <c:v>1001.5018549627836</c:v>
                </c:pt>
                <c:pt idx="407">
                  <c:v>993.54572785994355</c:v>
                </c:pt>
                <c:pt idx="408">
                  <c:v>985.54586718449036</c:v>
                </c:pt>
                <c:pt idx="409">
                  <c:v>977.50289827299241</c:v>
                </c:pt>
                <c:pt idx="410">
                  <c:v>969.4174424485052</c:v>
                </c:pt>
                <c:pt idx="411">
                  <c:v>961.29011693284019</c:v>
                </c:pt>
                <c:pt idx="412">
                  <c:v>953.12153476258914</c:v>
                </c:pt>
                <c:pt idx="413">
                  <c:v>944.91230470885955</c:v>
                </c:pt>
                <c:pt idx="414">
                  <c:v>936.66303120067471</c:v>
                </c:pt>
                <c:pt idx="415">
                  <c:v>928.3743142519894</c:v>
                </c:pt>
                <c:pt idx="416">
                  <c:v>920.04674939227209</c:v>
                </c:pt>
                <c:pt idx="417">
                  <c:v>911.68092760060051</c:v>
                </c:pt>
                <c:pt idx="418">
                  <c:v>903.27743524321897</c:v>
                </c:pt>
                <c:pt idx="419">
                  <c:v>894.83685401450157</c:v>
                </c:pt>
                <c:pt idx="420">
                  <c:v>886.35976088126597</c:v>
                </c:pt>
                <c:pt idx="421">
                  <c:v>877.84672803038086</c:v>
                </c:pt>
                <c:pt idx="422">
                  <c:v>869.29832281960842</c:v>
                </c:pt>
                <c:pt idx="423">
                  <c:v>860.71510773162379</c:v>
                </c:pt>
                <c:pt idx="424">
                  <c:v>852.09764033115061</c:v>
                </c:pt>
                <c:pt idx="425">
                  <c:v>843.44647322515334</c:v>
                </c:pt>
                <c:pt idx="426">
                  <c:v>834.76215402602361</c:v>
                </c:pt>
                <c:pt idx="427">
                  <c:v>826.04522531770033</c:v>
                </c:pt>
                <c:pt idx="428">
                  <c:v>817.29622462466045</c:v>
                </c:pt>
                <c:pt idx="429">
                  <c:v>808.51568438371839</c:v>
                </c:pt>
                <c:pt idx="430">
                  <c:v>799.70413191857006</c:v>
                </c:pt>
                <c:pt idx="431">
                  <c:v>790.86208941702012</c:v>
                </c:pt>
                <c:pt idx="432">
                  <c:v>781.99007391082785</c:v>
                </c:pt>
                <c:pt idx="433">
                  <c:v>773.08859725810896</c:v>
                </c:pt>
                <c:pt idx="434">
                  <c:v>764.15816612822994</c:v>
                </c:pt>
                <c:pt idx="435">
                  <c:v>755.19928198913135</c:v>
                </c:pt>
                <c:pt idx="436">
                  <c:v>746.21244109701797</c:v>
                </c:pt>
                <c:pt idx="437">
                  <c:v>737.1981344883518</c:v>
                </c:pt>
                <c:pt idx="438">
                  <c:v>728.15684797408596</c:v>
                </c:pt>
                <c:pt idx="439">
                  <c:v>719.08906213607725</c:v>
                </c:pt>
                <c:pt idx="440">
                  <c:v>709.99525232561496</c:v>
                </c:pt>
                <c:pt idx="441">
                  <c:v>700.87588866400472</c:v>
                </c:pt>
                <c:pt idx="442">
                  <c:v>691.73143604514667</c:v>
                </c:pt>
                <c:pt idx="443">
                  <c:v>682.56235414004698</c:v>
                </c:pt>
                <c:pt idx="444">
                  <c:v>673.369097403203</c:v>
                </c:pt>
                <c:pt idx="445">
                  <c:v>664.15211508080245</c:v>
                </c:pt>
                <c:pt idx="446">
                  <c:v>654.91185122067816</c:v>
                </c:pt>
                <c:pt idx="447">
                  <c:v>645.64874468396067</c:v>
                </c:pt>
                <c:pt idx="448">
                  <c:v>636.36322915837013</c:v>
                </c:pt>
                <c:pt idx="449">
                  <c:v>627.05573317309222</c:v>
                </c:pt>
                <c:pt idx="450">
                  <c:v>617.72668011518169</c:v>
                </c:pt>
                <c:pt idx="451">
                  <c:v>608.37648824743826</c:v>
                </c:pt>
                <c:pt idx="452">
                  <c:v>599.00557072770096</c:v>
                </c:pt>
                <c:pt idx="453">
                  <c:v>589.61433562950685</c:v>
                </c:pt>
                <c:pt idx="454">
                  <c:v>580.20318596406298</c:v>
                </c:pt>
                <c:pt idx="455">
                  <c:v>570.77251970347777</c:v>
                </c:pt>
                <c:pt idx="456">
                  <c:v>561.32272980520293</c:v>
                </c:pt>
                <c:pt idx="457">
                  <c:v>551.85420423763514</c:v>
                </c:pt>
                <c:pt idx="458">
                  <c:v>542.36732600682797</c:v>
                </c:pt>
                <c:pt idx="459">
                  <c:v>532.86247318426695</c:v>
                </c:pt>
                <c:pt idx="460">
                  <c:v>523.34001893566017</c:v>
                </c:pt>
                <c:pt idx="461">
                  <c:v>513.80033155069805</c:v>
                </c:pt>
                <c:pt idx="462">
                  <c:v>504.24377447373695</c:v>
                </c:pt>
                <c:pt idx="463">
                  <c:v>494.67070633536287</c:v>
                </c:pt>
                <c:pt idx="464">
                  <c:v>485.08148098479109</c:v>
                </c:pt>
                <c:pt idx="465">
                  <c:v>475.47644752305979</c:v>
                </c:pt>
                <c:pt idx="466">
                  <c:v>465.85595033697609</c:v>
                </c:pt>
                <c:pt idx="467">
                  <c:v>456.22032913377387</c:v>
                </c:pt>
                <c:pt idx="468">
                  <c:v>446.56991897644383</c:v>
                </c:pt>
                <c:pt idx="469">
                  <c:v>436.90505031969741</c:v>
                </c:pt>
                <c:pt idx="470">
                  <c:v>427.22604904652644</c:v>
                </c:pt>
                <c:pt idx="471">
                  <c:v>417.53323650532229</c:v>
                </c:pt>
                <c:pt idx="472">
                  <c:v>407.82692954751826</c:v>
                </c:pt>
                <c:pt idx="473">
                  <c:v>398.10744056572059</c:v>
                </c:pt>
                <c:pt idx="474">
                  <c:v>388.37507753229437</c:v>
                </c:pt>
                <c:pt idx="475">
                  <c:v>378.63014403837076</c:v>
                </c:pt>
                <c:pt idx="476">
                  <c:v>368.87293933324389</c:v>
                </c:pt>
                <c:pt idx="477">
                  <c:v>359.10375836412595</c:v>
                </c:pt>
                <c:pt idx="478">
                  <c:v>349.32289181623037</c:v>
                </c:pt>
                <c:pt idx="479">
                  <c:v>339.53062615315338</c:v>
                </c:pt>
                <c:pt idx="480">
                  <c:v>329.72724365752566</c:v>
                </c:pt>
                <c:pt idx="481">
                  <c:v>319.91302247190595</c:v>
                </c:pt>
                <c:pt idx="482">
                  <c:v>310.08823663989028</c:v>
                </c:pt>
                <c:pt idx="483">
                  <c:v>300.25315614741021</c:v>
                </c:pt>
                <c:pt idx="484">
                  <c:v>290.40804696419548</c:v>
                </c:pt>
                <c:pt idx="485">
                  <c:v>280.55317108537588</c:v>
                </c:pt>
                <c:pt idx="486">
                  <c:v>270.68878657319954</c:v>
                </c:pt>
                <c:pt idx="487">
                  <c:v>260.81514759884436</c:v>
                </c:pt>
                <c:pt idx="488">
                  <c:v>250.93250448430032</c:v>
                </c:pt>
                <c:pt idx="489">
                  <c:v>241.04110374430212</c:v>
                </c:pt>
                <c:pt idx="490">
                  <c:v>231.14118812829062</c:v>
                </c:pt>
                <c:pt idx="491">
                  <c:v>221.23299666238418</c:v>
                </c:pt>
                <c:pt idx="492">
                  <c:v>211.31676469133998</c:v>
                </c:pt>
                <c:pt idx="493">
                  <c:v>201.39272392048758</c:v>
                </c:pt>
                <c:pt idx="494">
                  <c:v>191.46110245761648</c:v>
                </c:pt>
                <c:pt idx="495">
                  <c:v>181.52212485480092</c:v>
                </c:pt>
                <c:pt idx="496">
                  <c:v>171.57601215014552</c:v>
                </c:pt>
                <c:pt idx="497">
                  <c:v>161.62298190943582</c:v>
                </c:pt>
                <c:pt idx="498">
                  <c:v>151.66324826767874</c:v>
                </c:pt>
                <c:pt idx="499">
                  <c:v>141.69702197051851</c:v>
                </c:pt>
                <c:pt idx="500">
                  <c:v>131.72451041551403</c:v>
                </c:pt>
                <c:pt idx="501">
                  <c:v>121.74591769326445</c:v>
                </c:pt>
                <c:pt idx="502">
                  <c:v>111.76144462837017</c:v>
                </c:pt>
                <c:pt idx="503">
                  <c:v>101.77128882021724</c:v>
                </c:pt>
                <c:pt idx="504">
                  <c:v>91.775644683573162</c:v>
                </c:pt>
                <c:pt idx="505">
                  <c:v>81.774703488983505</c:v>
                </c:pt>
                <c:pt idx="506">
                  <c:v>71.768653402958307</c:v>
                </c:pt>
                <c:pt idx="507">
                  <c:v>61.757679527938492</c:v>
                </c:pt>
                <c:pt idx="508">
                  <c:v>51.741963942032513</c:v>
                </c:pt>
                <c:pt idx="509">
                  <c:v>41.721685738514282</c:v>
                </c:pt>
                <c:pt idx="510">
                  <c:v>31.69702106507367</c:v>
                </c:pt>
                <c:pt idx="511">
                  <c:v>21.668143162811401</c:v>
                </c:pt>
                <c:pt idx="512">
                  <c:v>11.635222404970609</c:v>
                </c:pt>
                <c:pt idx="513">
                  <c:v>1.5984263353977717</c:v>
                </c:pt>
                <c:pt idx="514">
                  <c:v>-8.4420802932739214</c:v>
                </c:pt>
                <c:pt idx="515">
                  <c:v>-8.4521226160746306</c:v>
                </c:pt>
                <c:pt idx="516">
                  <c:v>-8.4621649423435041</c:v>
                </c:pt>
                <c:pt idx="517">
                  <c:v>-8.472207272080384</c:v>
                </c:pt>
                <c:pt idx="518">
                  <c:v>-8.482249605285114</c:v>
                </c:pt>
                <c:pt idx="519">
                  <c:v>-8.4922919419575358</c:v>
                </c:pt>
                <c:pt idx="520">
                  <c:v>-8.5023342820974914</c:v>
                </c:pt>
                <c:pt idx="521">
                  <c:v>-8.5123766257048228</c:v>
                </c:pt>
                <c:pt idx="522">
                  <c:v>-8.5224189727793718</c:v>
                </c:pt>
                <c:pt idx="523">
                  <c:v>-8.5324613233209821</c:v>
                </c:pt>
                <c:pt idx="524">
                  <c:v>-8.5425036773294938</c:v>
                </c:pt>
                <c:pt idx="525">
                  <c:v>-8.5525460348047506</c:v>
                </c:pt>
                <c:pt idx="526">
                  <c:v>-8.5625883957465945</c:v>
                </c:pt>
                <c:pt idx="527">
                  <c:v>-8.5726307601548672</c:v>
                </c:pt>
                <c:pt idx="528">
                  <c:v>-8.5826731280294126</c:v>
                </c:pt>
                <c:pt idx="529">
                  <c:v>-8.5927154993700725</c:v>
                </c:pt>
                <c:pt idx="530">
                  <c:v>-8.602757874176687</c:v>
                </c:pt>
                <c:pt idx="531">
                  <c:v>-8.6128002524490999</c:v>
                </c:pt>
                <c:pt idx="532">
                  <c:v>-8.6228426341871547</c:v>
                </c:pt>
                <c:pt idx="533">
                  <c:v>-8.6328850193906916</c:v>
                </c:pt>
                <c:pt idx="534">
                  <c:v>-8.6429274080595544</c:v>
                </c:pt>
                <c:pt idx="535">
                  <c:v>-8.6529698001935831</c:v>
                </c:pt>
                <c:pt idx="536">
                  <c:v>-8.6630121957926232</c:v>
                </c:pt>
                <c:pt idx="537">
                  <c:v>-8.6730545948565148</c:v>
                </c:pt>
                <c:pt idx="538">
                  <c:v>-8.6830969973850998</c:v>
                </c:pt>
                <c:pt idx="539">
                  <c:v>-8.6931394033782219</c:v>
                </c:pt>
                <c:pt idx="540">
                  <c:v>-8.703181812835723</c:v>
                </c:pt>
                <c:pt idx="541">
                  <c:v>-8.713224225757445</c:v>
                </c:pt>
                <c:pt idx="542">
                  <c:v>-8.7232666421432299</c:v>
                </c:pt>
                <c:pt idx="543">
                  <c:v>-8.7333090619929212</c:v>
                </c:pt>
                <c:pt idx="544">
                  <c:v>-8.7433514853063592</c:v>
                </c:pt>
                <c:pt idx="545">
                  <c:v>-8.7533939120833875</c:v>
                </c:pt>
                <c:pt idx="546">
                  <c:v>-8.7634363423238479</c:v>
                </c:pt>
                <c:pt idx="547">
                  <c:v>-8.7734787760275843</c:v>
                </c:pt>
                <c:pt idx="548">
                  <c:v>-8.7835212131944367</c:v>
                </c:pt>
                <c:pt idx="549">
                  <c:v>-8.7935636538242488</c:v>
                </c:pt>
                <c:pt idx="550">
                  <c:v>-8.8036060979168624</c:v>
                </c:pt>
                <c:pt idx="551">
                  <c:v>-8.8136485454721196</c:v>
                </c:pt>
                <c:pt idx="552">
                  <c:v>-8.823690996489864</c:v>
                </c:pt>
                <c:pt idx="553">
                  <c:v>-8.8337334509699375</c:v>
                </c:pt>
                <c:pt idx="554">
                  <c:v>-8.8437759089121819</c:v>
                </c:pt>
                <c:pt idx="555">
                  <c:v>-8.8538183703164393</c:v>
                </c:pt>
                <c:pt idx="556">
                  <c:v>-8.8638608351825514</c:v>
                </c:pt>
                <c:pt idx="557">
                  <c:v>-8.8739033035103621</c:v>
                </c:pt>
                <c:pt idx="558">
                  <c:v>-8.8839457752997131</c:v>
                </c:pt>
                <c:pt idx="559">
                  <c:v>-8.8939882505504464</c:v>
                </c:pt>
                <c:pt idx="560">
                  <c:v>-8.9040307292624039</c:v>
                </c:pt>
                <c:pt idx="561">
                  <c:v>-8.9140732114354293</c:v>
                </c:pt>
                <c:pt idx="562">
                  <c:v>-8.9241156970693645</c:v>
                </c:pt>
                <c:pt idx="563">
                  <c:v>-8.9341581861640513</c:v>
                </c:pt>
                <c:pt idx="564">
                  <c:v>-8.9442006787193318</c:v>
                </c:pt>
                <c:pt idx="565">
                  <c:v>-8.9542431747350495</c:v>
                </c:pt>
                <c:pt idx="566">
                  <c:v>-8.9642856742110464</c:v>
                </c:pt>
                <c:pt idx="567">
                  <c:v>-8.9743281771471644</c:v>
                </c:pt>
                <c:pt idx="568">
                  <c:v>-8.9843706835432453</c:v>
                </c:pt>
                <c:pt idx="569">
                  <c:v>-8.9944131933991329</c:v>
                </c:pt>
                <c:pt idx="570">
                  <c:v>-9.0044557067146691</c:v>
                </c:pt>
                <c:pt idx="571">
                  <c:v>-9.0144982234896958</c:v>
                </c:pt>
                <c:pt idx="572">
                  <c:v>-9.0245407437240548</c:v>
                </c:pt>
                <c:pt idx="573">
                  <c:v>-9.0345832674175899</c:v>
                </c:pt>
                <c:pt idx="574">
                  <c:v>-9.0446257945701429</c:v>
                </c:pt>
                <c:pt idx="575">
                  <c:v>-9.0546683251815558</c:v>
                </c:pt>
                <c:pt idx="576">
                  <c:v>-9.0647108592516705</c:v>
                </c:pt>
                <c:pt idx="577">
                  <c:v>-9.0747533967803307</c:v>
                </c:pt>
                <c:pt idx="578">
                  <c:v>-9.0847959377673781</c:v>
                </c:pt>
                <c:pt idx="579">
                  <c:v>-9.0948384822126549</c:v>
                </c:pt>
                <c:pt idx="580">
                  <c:v>-9.1048810301160046</c:v>
                </c:pt>
                <c:pt idx="581">
                  <c:v>-9.1149235814772673</c:v>
                </c:pt>
                <c:pt idx="582">
                  <c:v>-9.1249661362962868</c:v>
                </c:pt>
                <c:pt idx="583">
                  <c:v>-9.1350086945729068</c:v>
                </c:pt>
                <c:pt idx="584">
                  <c:v>-9.1450512563069672</c:v>
                </c:pt>
                <c:pt idx="585">
                  <c:v>-9.155093821498312</c:v>
                </c:pt>
                <c:pt idx="586">
                  <c:v>-9.1651363901467828</c:v>
                </c:pt>
                <c:pt idx="587">
                  <c:v>-9.1751789622522235</c:v>
                </c:pt>
                <c:pt idx="588">
                  <c:v>-9.1852215378144741</c:v>
                </c:pt>
                <c:pt idx="589">
                  <c:v>-9.1952641168333784</c:v>
                </c:pt>
                <c:pt idx="590">
                  <c:v>-9.20530669930878</c:v>
                </c:pt>
                <c:pt idx="591">
                  <c:v>-9.215349285240519</c:v>
                </c:pt>
                <c:pt idx="592">
                  <c:v>-9.2253918746284391</c:v>
                </c:pt>
                <c:pt idx="593">
                  <c:v>-9.2354344674723823</c:v>
                </c:pt>
                <c:pt idx="594">
                  <c:v>-9.2454770637721904</c:v>
                </c:pt>
                <c:pt idx="595">
                  <c:v>-9.2555196635277071</c:v>
                </c:pt>
                <c:pt idx="596">
                  <c:v>-9.2655622667387743</c:v>
                </c:pt>
                <c:pt idx="597">
                  <c:v>-9.2756048734052339</c:v>
                </c:pt>
                <c:pt idx="598">
                  <c:v>-9.2856474835269296</c:v>
                </c:pt>
                <c:pt idx="599">
                  <c:v>-9.2956900971037033</c:v>
                </c:pt>
                <c:pt idx="600">
                  <c:v>-9.3057327141353969</c:v>
                </c:pt>
                <c:pt idx="601">
                  <c:v>-9.3157753346218541</c:v>
                </c:pt>
                <c:pt idx="602">
                  <c:v>-9.3258179585629151</c:v>
                </c:pt>
                <c:pt idx="603">
                  <c:v>-9.3358605859584252</c:v>
                </c:pt>
                <c:pt idx="604">
                  <c:v>-9.3459032168082246</c:v>
                </c:pt>
                <c:pt idx="605">
                  <c:v>-9.3559458511121569</c:v>
                </c:pt>
                <c:pt idx="606">
                  <c:v>-9.3659884888700642</c:v>
                </c:pt>
                <c:pt idx="607">
                  <c:v>-9.3760311300817882</c:v>
                </c:pt>
                <c:pt idx="608">
                  <c:v>-9.3860737747471727</c:v>
                </c:pt>
                <c:pt idx="609">
                  <c:v>-9.3961164228660596</c:v>
                </c:pt>
                <c:pt idx="610">
                  <c:v>-9.4061590744382908</c:v>
                </c:pt>
                <c:pt idx="611">
                  <c:v>-9.4162017294637081</c:v>
                </c:pt>
                <c:pt idx="612">
                  <c:v>-9.4262443879421554</c:v>
                </c:pt>
                <c:pt idx="613">
                  <c:v>-9.4362870498734761</c:v>
                </c:pt>
                <c:pt idx="614">
                  <c:v>-9.4463297152575105</c:v>
                </c:pt>
                <c:pt idx="615">
                  <c:v>-9.4563723840941023</c:v>
                </c:pt>
                <c:pt idx="616">
                  <c:v>-9.4664150563830933</c:v>
                </c:pt>
                <c:pt idx="617">
                  <c:v>-9.4764577321243273</c:v>
                </c:pt>
                <c:pt idx="618">
                  <c:v>-9.4865004113176461</c:v>
                </c:pt>
                <c:pt idx="619">
                  <c:v>-9.4965430939628916</c:v>
                </c:pt>
                <c:pt idx="620">
                  <c:v>-9.5065857800599058</c:v>
                </c:pt>
                <c:pt idx="621">
                  <c:v>-9.5166284696085324</c:v>
                </c:pt>
                <c:pt idx="622">
                  <c:v>-9.5266711626086131</c:v>
                </c:pt>
                <c:pt idx="623">
                  <c:v>-9.5367138590599918</c:v>
                </c:pt>
                <c:pt idx="624">
                  <c:v>-9.5467565589625085</c:v>
                </c:pt>
                <c:pt idx="625">
                  <c:v>-9.5567992623160087</c:v>
                </c:pt>
                <c:pt idx="626">
                  <c:v>-9.5668419691203326</c:v>
                </c:pt>
                <c:pt idx="627">
                  <c:v>-9.5768846793753237</c:v>
                </c:pt>
                <c:pt idx="628">
                  <c:v>-9.5869273930808241</c:v>
                </c:pt>
                <c:pt idx="629">
                  <c:v>-9.5969701102366773</c:v>
                </c:pt>
                <c:pt idx="630">
                  <c:v>-9.6070128308427254</c:v>
                </c:pt>
                <c:pt idx="631">
                  <c:v>-9.6170555548988101</c:v>
                </c:pt>
                <c:pt idx="632">
                  <c:v>-9.6270982824047735</c:v>
                </c:pt>
                <c:pt idx="633">
                  <c:v>-9.6371410133604591</c:v>
                </c:pt>
                <c:pt idx="634">
                  <c:v>-9.647183747765709</c:v>
                </c:pt>
                <c:pt idx="635">
                  <c:v>-9.6572264856203667</c:v>
                </c:pt>
                <c:pt idx="636">
                  <c:v>-9.6672692269242742</c:v>
                </c:pt>
                <c:pt idx="637">
                  <c:v>-9.6773119716772733</c:v>
                </c:pt>
                <c:pt idx="638">
                  <c:v>-9.6873547198792078</c:v>
                </c:pt>
                <c:pt idx="639">
                  <c:v>-9.6973974715299196</c:v>
                </c:pt>
                <c:pt idx="640">
                  <c:v>-9.7074402266292505</c:v>
                </c:pt>
                <c:pt idx="641">
                  <c:v>-9.7174829851770443</c:v>
                </c:pt>
                <c:pt idx="642">
                  <c:v>-9.7275257471731429</c:v>
                </c:pt>
                <c:pt idx="643">
                  <c:v>-9.7375685126173899</c:v>
                </c:pt>
                <c:pt idx="644">
                  <c:v>-9.7476112815096272</c:v>
                </c:pt>
                <c:pt idx="645">
                  <c:v>-9.7576540538496968</c:v>
                </c:pt>
                <c:pt idx="646">
                  <c:v>-9.7676968296374405</c:v>
                </c:pt>
                <c:pt idx="647">
                  <c:v>-9.777739608872702</c:v>
                </c:pt>
                <c:pt idx="648">
                  <c:v>-9.787782391555325</c:v>
                </c:pt>
                <c:pt idx="649">
                  <c:v>-9.7978251776851497</c:v>
                </c:pt>
                <c:pt idx="650">
                  <c:v>-9.8078679672620197</c:v>
                </c:pt>
                <c:pt idx="651">
                  <c:v>-9.8179107602857787</c:v>
                </c:pt>
                <c:pt idx="652">
                  <c:v>-9.8279535567562686</c:v>
                </c:pt>
                <c:pt idx="653">
                  <c:v>-9.8379963566733313</c:v>
                </c:pt>
                <c:pt idx="654">
                  <c:v>-9.8480391600368087</c:v>
                </c:pt>
                <c:pt idx="655">
                  <c:v>-9.8580819668465445</c:v>
                </c:pt>
                <c:pt idx="656">
                  <c:v>-9.8681247771023823</c:v>
                </c:pt>
                <c:pt idx="657">
                  <c:v>-9.8781675908041624</c:v>
                </c:pt>
                <c:pt idx="658">
                  <c:v>-9.8882104079517301</c:v>
                </c:pt>
                <c:pt idx="659">
                  <c:v>-9.8982532285449256</c:v>
                </c:pt>
                <c:pt idx="660">
                  <c:v>-9.9082960525835926</c:v>
                </c:pt>
                <c:pt idx="661">
                  <c:v>-9.9183388800675729</c:v>
                </c:pt>
                <c:pt idx="662">
                  <c:v>-9.9283817109967103</c:v>
                </c:pt>
                <c:pt idx="663">
                  <c:v>-9.9384245453708466</c:v>
                </c:pt>
                <c:pt idx="664">
                  <c:v>-9.9484673831898238</c:v>
                </c:pt>
                <c:pt idx="665">
                  <c:v>-9.9585102244534855</c:v>
                </c:pt>
                <c:pt idx="666">
                  <c:v>-9.9685530691616737</c:v>
                </c:pt>
                <c:pt idx="667">
                  <c:v>-9.978595917314232</c:v>
                </c:pt>
                <c:pt idx="668">
                  <c:v>-9.9886387689110023</c:v>
                </c:pt>
                <c:pt idx="669">
                  <c:v>-9.9986816239518284</c:v>
                </c:pt>
                <c:pt idx="670">
                  <c:v>-10.00872448243655</c:v>
                </c:pt>
                <c:pt idx="671">
                  <c:v>-10.018767344365013</c:v>
                </c:pt>
                <c:pt idx="672">
                  <c:v>-10.028810209737058</c:v>
                </c:pt>
                <c:pt idx="673">
                  <c:v>-10.038853078552528</c:v>
                </c:pt>
                <c:pt idx="674">
                  <c:v>-10.048895950811266</c:v>
                </c:pt>
                <c:pt idx="675">
                  <c:v>-10.058938826513115</c:v>
                </c:pt>
                <c:pt idx="676">
                  <c:v>-10.068981705657917</c:v>
                </c:pt>
                <c:pt idx="677">
                  <c:v>-10.079024588245515</c:v>
                </c:pt>
                <c:pt idx="678">
                  <c:v>-10.089067474275751</c:v>
                </c:pt>
                <c:pt idx="679">
                  <c:v>-10.099110363748469</c:v>
                </c:pt>
                <c:pt idx="680">
                  <c:v>-10.109153256663509</c:v>
                </c:pt>
                <c:pt idx="681">
                  <c:v>-10.119196153020717</c:v>
                </c:pt>
                <c:pt idx="682">
                  <c:v>-10.129239052819933</c:v>
                </c:pt>
                <c:pt idx="683">
                  <c:v>-10.139281956061001</c:v>
                </c:pt>
                <c:pt idx="684">
                  <c:v>-10.149324862743764</c:v>
                </c:pt>
                <c:pt idx="685">
                  <c:v>-10.159367772868064</c:v>
                </c:pt>
                <c:pt idx="686">
                  <c:v>-10.169410686433743</c:v>
                </c:pt>
                <c:pt idx="687">
                  <c:v>-10.179453603440644</c:v>
                </c:pt>
                <c:pt idx="688">
                  <c:v>-10.189496523888609</c:v>
                </c:pt>
                <c:pt idx="689">
                  <c:v>-10.199539447777482</c:v>
                </c:pt>
                <c:pt idx="690">
                  <c:v>-10.209582375107107</c:v>
                </c:pt>
                <c:pt idx="691">
                  <c:v>-10.219625305877324</c:v>
                </c:pt>
                <c:pt idx="692">
                  <c:v>-10.229668240087976</c:v>
                </c:pt>
                <c:pt idx="693">
                  <c:v>-10.239711177738908</c:v>
                </c:pt>
                <c:pt idx="694">
                  <c:v>-10.24975411882996</c:v>
                </c:pt>
                <c:pt idx="695">
                  <c:v>-10.259797063360976</c:v>
                </c:pt>
                <c:pt idx="696">
                  <c:v>-10.269840011331798</c:v>
                </c:pt>
                <c:pt idx="697">
                  <c:v>-10.279882962742269</c:v>
                </c:pt>
                <c:pt idx="698">
                  <c:v>-10.289925917592232</c:v>
                </c:pt>
                <c:pt idx="699">
                  <c:v>-10.299968875881529</c:v>
                </c:pt>
                <c:pt idx="700">
                  <c:v>-10.310011837610004</c:v>
                </c:pt>
                <c:pt idx="701">
                  <c:v>-10.320054802777499</c:v>
                </c:pt>
                <c:pt idx="702">
                  <c:v>-10.330097771383857</c:v>
                </c:pt>
                <c:pt idx="703">
                  <c:v>-10.34014074342892</c:v>
                </c:pt>
                <c:pt idx="704">
                  <c:v>-10.350183718912531</c:v>
                </c:pt>
                <c:pt idx="705">
                  <c:v>-10.360226697834532</c:v>
                </c:pt>
                <c:pt idx="706">
                  <c:v>-10.370269680194767</c:v>
                </c:pt>
                <c:pt idx="707">
                  <c:v>-10.380312665993078</c:v>
                </c:pt>
                <c:pt idx="708">
                  <c:v>-10.390355655229309</c:v>
                </c:pt>
                <c:pt idx="709">
                  <c:v>-10.4003986479033</c:v>
                </c:pt>
                <c:pt idx="710">
                  <c:v>-10.410441644014897</c:v>
                </c:pt>
                <c:pt idx="711">
                  <c:v>-10.42048464356394</c:v>
                </c:pt>
                <c:pt idx="712">
                  <c:v>-10.430527646550273</c:v>
                </c:pt>
                <c:pt idx="713">
                  <c:v>-10.440570652973738</c:v>
                </c:pt>
                <c:pt idx="714">
                  <c:v>-10.450613662834179</c:v>
                </c:pt>
                <c:pt idx="715">
                  <c:v>-10.460656676131439</c:v>
                </c:pt>
                <c:pt idx="716">
                  <c:v>-10.47069969286536</c:v>
                </c:pt>
                <c:pt idx="717">
                  <c:v>-10.480742713035783</c:v>
                </c:pt>
                <c:pt idx="718">
                  <c:v>-10.490785736642552</c:v>
                </c:pt>
                <c:pt idx="719">
                  <c:v>-10.500828763685512</c:v>
                </c:pt>
                <c:pt idx="720">
                  <c:v>-10.510871794164503</c:v>
                </c:pt>
                <c:pt idx="721">
                  <c:v>-10.520914828079368</c:v>
                </c:pt>
                <c:pt idx="722">
                  <c:v>-10.530957865429951</c:v>
                </c:pt>
                <c:pt idx="723">
                  <c:v>-10.541000906216093</c:v>
                </c:pt>
                <c:pt idx="724">
                  <c:v>-10.551043950437638</c:v>
                </c:pt>
                <c:pt idx="725">
                  <c:v>-10.561086998094428</c:v>
                </c:pt>
                <c:pt idx="726">
                  <c:v>-10.571130049186307</c:v>
                </c:pt>
                <c:pt idx="727">
                  <c:v>-10.581173103713118</c:v>
                </c:pt>
                <c:pt idx="728">
                  <c:v>-10.591216161674701</c:v>
                </c:pt>
                <c:pt idx="729">
                  <c:v>-10.601259223070903</c:v>
                </c:pt>
                <c:pt idx="730">
                  <c:v>-10.611302287901562</c:v>
                </c:pt>
                <c:pt idx="731">
                  <c:v>-10.621345356166525</c:v>
                </c:pt>
                <c:pt idx="732">
                  <c:v>-10.631388427865632</c:v>
                </c:pt>
                <c:pt idx="733">
                  <c:v>-10.641431502998728</c:v>
                </c:pt>
                <c:pt idx="734">
                  <c:v>-10.651474581565655</c:v>
                </c:pt>
                <c:pt idx="735">
                  <c:v>-10.661517663566254</c:v>
                </c:pt>
                <c:pt idx="736">
                  <c:v>-10.671560749000371</c:v>
                </c:pt>
                <c:pt idx="737">
                  <c:v>-10.681603837867845</c:v>
                </c:pt>
                <c:pt idx="738">
                  <c:v>-10.691646930168522</c:v>
                </c:pt>
                <c:pt idx="739">
                  <c:v>-10.701690025902243</c:v>
                </c:pt>
                <c:pt idx="740">
                  <c:v>-10.711733125068852</c:v>
                </c:pt>
                <c:pt idx="741">
                  <c:v>-10.72177622766819</c:v>
                </c:pt>
                <c:pt idx="742">
                  <c:v>-10.731819333700102</c:v>
                </c:pt>
                <c:pt idx="743">
                  <c:v>-10.741862443164429</c:v>
                </c:pt>
                <c:pt idx="744">
                  <c:v>-10.751905556061015</c:v>
                </c:pt>
                <c:pt idx="745">
                  <c:v>-10.761948672389702</c:v>
                </c:pt>
                <c:pt idx="746">
                  <c:v>-10.771991792150333</c:v>
                </c:pt>
                <c:pt idx="747">
                  <c:v>-10.782034915342752</c:v>
                </c:pt>
                <c:pt idx="748">
                  <c:v>-10.792078041966802</c:v>
                </c:pt>
                <c:pt idx="749">
                  <c:v>-10.802121172022323</c:v>
                </c:pt>
                <c:pt idx="750">
                  <c:v>-10.81216430550916</c:v>
                </c:pt>
                <c:pt idx="751">
                  <c:v>-10.822207442427157</c:v>
                </c:pt>
                <c:pt idx="752">
                  <c:v>-10.832250582776155</c:v>
                </c:pt>
                <c:pt idx="753">
                  <c:v>-10.842293726555996</c:v>
                </c:pt>
                <c:pt idx="754">
                  <c:v>-10.852336873766523</c:v>
                </c:pt>
                <c:pt idx="755">
                  <c:v>-10.862380024407582</c:v>
                </c:pt>
                <c:pt idx="756">
                  <c:v>-10.872423178479012</c:v>
                </c:pt>
                <c:pt idx="757">
                  <c:v>-10.882466335980657</c:v>
                </c:pt>
                <c:pt idx="758">
                  <c:v>-10.892509496912362</c:v>
                </c:pt>
                <c:pt idx="759">
                  <c:v>-10.902552661273967</c:v>
                </c:pt>
                <c:pt idx="760">
                  <c:v>-10.912595829065317</c:v>
                </c:pt>
                <c:pt idx="761">
                  <c:v>-10.922639000286253</c:v>
                </c:pt>
                <c:pt idx="762">
                  <c:v>-10.93268217493662</c:v>
                </c:pt>
                <c:pt idx="763">
                  <c:v>-10.942725353016259</c:v>
                </c:pt>
                <c:pt idx="764">
                  <c:v>-10.952768534525013</c:v>
                </c:pt>
                <c:pt idx="765">
                  <c:v>-10.962811719462726</c:v>
                </c:pt>
                <c:pt idx="766">
                  <c:v>-10.972854907829241</c:v>
                </c:pt>
                <c:pt idx="767">
                  <c:v>-10.9828980996244</c:v>
                </c:pt>
                <c:pt idx="768">
                  <c:v>-10.992941294848045</c:v>
                </c:pt>
                <c:pt idx="769">
                  <c:v>-11.002984493500021</c:v>
                </c:pt>
                <c:pt idx="770">
                  <c:v>-11.013027695580169</c:v>
                </c:pt>
                <c:pt idx="771">
                  <c:v>-11.023070901088333</c:v>
                </c:pt>
                <c:pt idx="772">
                  <c:v>-11.033114110024355</c:v>
                </c:pt>
                <c:pt idx="773">
                  <c:v>-11.04315732238808</c:v>
                </c:pt>
                <c:pt idx="774">
                  <c:v>-11.053200538179349</c:v>
                </c:pt>
                <c:pt idx="775">
                  <c:v>-11.063243757398004</c:v>
                </c:pt>
                <c:pt idx="776">
                  <c:v>-11.073286980043889</c:v>
                </c:pt>
                <c:pt idx="777">
                  <c:v>-11.083330206116848</c:v>
                </c:pt>
                <c:pt idx="778">
                  <c:v>-11.093373435616723</c:v>
                </c:pt>
                <c:pt idx="779">
                  <c:v>-11.103416668543357</c:v>
                </c:pt>
                <c:pt idx="780">
                  <c:v>-11.113459904896592</c:v>
                </c:pt>
                <c:pt idx="781">
                  <c:v>-11.123503144676272</c:v>
                </c:pt>
                <c:pt idx="782">
                  <c:v>-11.133546387882241</c:v>
                </c:pt>
                <c:pt idx="783">
                  <c:v>-11.14358963451434</c:v>
                </c:pt>
                <c:pt idx="784">
                  <c:v>-11.153632884572412</c:v>
                </c:pt>
                <c:pt idx="785">
                  <c:v>-11.163676138056299</c:v>
                </c:pt>
                <c:pt idx="786">
                  <c:v>-11.173719394965847</c:v>
                </c:pt>
                <c:pt idx="787">
                  <c:v>-11.183762655300898</c:v>
                </c:pt>
                <c:pt idx="788">
                  <c:v>-11.193805919061292</c:v>
                </c:pt>
                <c:pt idx="789">
                  <c:v>-11.203849186246876</c:v>
                </c:pt>
                <c:pt idx="790">
                  <c:v>-11.21389245685749</c:v>
                </c:pt>
                <c:pt idx="791">
                  <c:v>-11.223935730892979</c:v>
                </c:pt>
                <c:pt idx="792">
                  <c:v>-11.233979008353185</c:v>
                </c:pt>
                <c:pt idx="793">
                  <c:v>-11.24402228923795</c:v>
                </c:pt>
                <c:pt idx="794">
                  <c:v>-11.254065573547118</c:v>
                </c:pt>
                <c:pt idx="795">
                  <c:v>-11.264108861280532</c:v>
                </c:pt>
                <c:pt idx="796">
                  <c:v>-11.274152152438035</c:v>
                </c:pt>
                <c:pt idx="797">
                  <c:v>-11.284195447019469</c:v>
                </c:pt>
                <c:pt idx="798">
                  <c:v>-11.294238745024678</c:v>
                </c:pt>
                <c:pt idx="799">
                  <c:v>-11.304282046453505</c:v>
                </c:pt>
                <c:pt idx="800">
                  <c:v>-11.314325351305792</c:v>
                </c:pt>
                <c:pt idx="801">
                  <c:v>-11.324368659581383</c:v>
                </c:pt>
                <c:pt idx="802">
                  <c:v>-11.334411971280121</c:v>
                </c:pt>
                <c:pt idx="803">
                  <c:v>-11.344455286401848</c:v>
                </c:pt>
                <c:pt idx="804">
                  <c:v>-11.354498604946407</c:v>
                </c:pt>
                <c:pt idx="805">
                  <c:v>-11.364541926913642</c:v>
                </c:pt>
                <c:pt idx="806">
                  <c:v>-11.374585252303396</c:v>
                </c:pt>
                <c:pt idx="807">
                  <c:v>-11.384628581115511</c:v>
                </c:pt>
                <c:pt idx="808">
                  <c:v>-11.39467191334983</c:v>
                </c:pt>
                <c:pt idx="809">
                  <c:v>-11.404715249006196</c:v>
                </c:pt>
                <c:pt idx="810">
                  <c:v>-11.414758588084453</c:v>
                </c:pt>
                <c:pt idx="811">
                  <c:v>-11.424801930584444</c:v>
                </c:pt>
                <c:pt idx="812">
                  <c:v>-11.43484527650601</c:v>
                </c:pt>
                <c:pt idx="813">
                  <c:v>-11.444888625848996</c:v>
                </c:pt>
                <c:pt idx="814">
                  <c:v>-11.454931978613244</c:v>
                </c:pt>
                <c:pt idx="815">
                  <c:v>-11.464975334798599</c:v>
                </c:pt>
                <c:pt idx="816">
                  <c:v>-11.4750186944049</c:v>
                </c:pt>
                <c:pt idx="817">
                  <c:v>-11.485062057431994</c:v>
                </c:pt>
                <c:pt idx="818">
                  <c:v>-11.495105423879723</c:v>
                </c:pt>
                <c:pt idx="819">
                  <c:v>-11.505148793747928</c:v>
                </c:pt>
                <c:pt idx="820">
                  <c:v>-11.515192167036453</c:v>
                </c:pt>
                <c:pt idx="821">
                  <c:v>-11.525235543745142</c:v>
                </c:pt>
                <c:pt idx="822">
                  <c:v>-11.535278923873838</c:v>
                </c:pt>
                <c:pt idx="823">
                  <c:v>-11.545322307422383</c:v>
                </c:pt>
                <c:pt idx="824">
                  <c:v>-11.555365694390622</c:v>
                </c:pt>
                <c:pt idx="825">
                  <c:v>-11.565409084778395</c:v>
                </c:pt>
                <c:pt idx="826">
                  <c:v>-11.575452478585547</c:v>
                </c:pt>
                <c:pt idx="827">
                  <c:v>-11.585495875811921</c:v>
                </c:pt>
                <c:pt idx="828">
                  <c:v>-11.595539276457359</c:v>
                </c:pt>
                <c:pt idx="829">
                  <c:v>-11.605582680521705</c:v>
                </c:pt>
                <c:pt idx="830">
                  <c:v>-11.615626088004802</c:v>
                </c:pt>
                <c:pt idx="831">
                  <c:v>-11.625669498906493</c:v>
                </c:pt>
                <c:pt idx="832">
                  <c:v>-11.635712913226621</c:v>
                </c:pt>
                <c:pt idx="833">
                  <c:v>-11.645756330965028</c:v>
                </c:pt>
                <c:pt idx="834">
                  <c:v>-11.655799752121558</c:v>
                </c:pt>
                <c:pt idx="835">
                  <c:v>-11.665843176696054</c:v>
                </c:pt>
                <c:pt idx="836">
                  <c:v>-11.67588660468836</c:v>
                </c:pt>
                <c:pt idx="837">
                  <c:v>-11.685930036098318</c:v>
                </c:pt>
                <c:pt idx="838">
                  <c:v>-11.695973470925772</c:v>
                </c:pt>
                <c:pt idx="839">
                  <c:v>-11.706016909170563</c:v>
                </c:pt>
                <c:pt idx="840">
                  <c:v>-11.716060350832535</c:v>
                </c:pt>
                <c:pt idx="841">
                  <c:v>-11.726103795911532</c:v>
                </c:pt>
                <c:pt idx="842">
                  <c:v>-11.736147244407396</c:v>
                </c:pt>
                <c:pt idx="843">
                  <c:v>-11.746190696319971</c:v>
                </c:pt>
                <c:pt idx="844">
                  <c:v>-11.7562341516491</c:v>
                </c:pt>
                <c:pt idx="845">
                  <c:v>-11.766277610394624</c:v>
                </c:pt>
                <c:pt idx="846">
                  <c:v>-11.776321072556389</c:v>
                </c:pt>
                <c:pt idx="847">
                  <c:v>-11.786364538134237</c:v>
                </c:pt>
                <c:pt idx="848">
                  <c:v>-11.79640800712801</c:v>
                </c:pt>
                <c:pt idx="849">
                  <c:v>-11.806451479537554</c:v>
                </c:pt>
                <c:pt idx="850">
                  <c:v>-11.816494955362709</c:v>
                </c:pt>
                <c:pt idx="851">
                  <c:v>-11.82653843460332</c:v>
                </c:pt>
                <c:pt idx="852">
                  <c:v>-11.836581917259229</c:v>
                </c:pt>
                <c:pt idx="853">
                  <c:v>-11.846625403330279</c:v>
                </c:pt>
                <c:pt idx="854">
                  <c:v>-11.856668892816314</c:v>
                </c:pt>
                <c:pt idx="855">
                  <c:v>-11.866712385717177</c:v>
                </c:pt>
                <c:pt idx="856">
                  <c:v>-11.876755882032711</c:v>
                </c:pt>
                <c:pt idx="857">
                  <c:v>-11.886799381762758</c:v>
                </c:pt>
                <c:pt idx="858">
                  <c:v>-11.896842884907162</c:v>
                </c:pt>
                <c:pt idx="859">
                  <c:v>-11.906886391465767</c:v>
                </c:pt>
                <c:pt idx="860">
                  <c:v>-11.916929901438415</c:v>
                </c:pt>
                <c:pt idx="861">
                  <c:v>-11.92697341482495</c:v>
                </c:pt>
                <c:pt idx="862">
                  <c:v>-11.937016931625214</c:v>
                </c:pt>
                <c:pt idx="863">
                  <c:v>-11.94706045183905</c:v>
                </c:pt>
                <c:pt idx="864">
                  <c:v>-11.957103975466303</c:v>
                </c:pt>
                <c:pt idx="865">
                  <c:v>-11.967147502506815</c:v>
                </c:pt>
                <c:pt idx="866">
                  <c:v>-11.977191032960429</c:v>
                </c:pt>
                <c:pt idx="867">
                  <c:v>-11.987234566826988</c:v>
                </c:pt>
                <c:pt idx="868">
                  <c:v>-11.997278104106336</c:v>
                </c:pt>
                <c:pt idx="869">
                  <c:v>-12.007321644798314</c:v>
                </c:pt>
                <c:pt idx="870">
                  <c:v>-12.017365188902767</c:v>
                </c:pt>
                <c:pt idx="871">
                  <c:v>-12.027408736419538</c:v>
                </c:pt>
                <c:pt idx="872">
                  <c:v>-12.03745228734847</c:v>
                </c:pt>
                <c:pt idx="873">
                  <c:v>-12.047495841689406</c:v>
                </c:pt>
                <c:pt idx="874">
                  <c:v>-12.05753939944219</c:v>
                </c:pt>
                <c:pt idx="875">
                  <c:v>-12.067582960606664</c:v>
                </c:pt>
                <c:pt idx="876">
                  <c:v>-12.077626525182671</c:v>
                </c:pt>
                <c:pt idx="877">
                  <c:v>-12.087670093170056</c:v>
                </c:pt>
                <c:pt idx="878">
                  <c:v>-12.09771366456866</c:v>
                </c:pt>
                <c:pt idx="879">
                  <c:v>-12.107757239378328</c:v>
                </c:pt>
                <c:pt idx="880">
                  <c:v>-12.117800817598901</c:v>
                </c:pt>
                <c:pt idx="881">
                  <c:v>-12.127844399230225</c:v>
                </c:pt>
                <c:pt idx="882">
                  <c:v>-12.137887984272142</c:v>
                </c:pt>
                <c:pt idx="883">
                  <c:v>-12.147931572724493</c:v>
                </c:pt>
                <c:pt idx="884">
                  <c:v>-12.157975164587125</c:v>
                </c:pt>
                <c:pt idx="885">
                  <c:v>-12.168018759859878</c:v>
                </c:pt>
                <c:pt idx="886">
                  <c:v>-12.178062358542597</c:v>
                </c:pt>
                <c:pt idx="887">
                  <c:v>-12.188105960635124</c:v>
                </c:pt>
                <c:pt idx="888">
                  <c:v>-12.198149566137303</c:v>
                </c:pt>
                <c:pt idx="889">
                  <c:v>-12.208193175048978</c:v>
                </c:pt>
                <c:pt idx="890">
                  <c:v>-12.218236787369989</c:v>
                </c:pt>
                <c:pt idx="891">
                  <c:v>-12.228280403100182</c:v>
                </c:pt>
                <c:pt idx="892">
                  <c:v>-12.2383240222394</c:v>
                </c:pt>
                <c:pt idx="893">
                  <c:v>-12.248367644787486</c:v>
                </c:pt>
                <c:pt idx="894">
                  <c:v>-12.258411270744283</c:v>
                </c:pt>
                <c:pt idx="895">
                  <c:v>-12.268454900109633</c:v>
                </c:pt>
                <c:pt idx="896">
                  <c:v>-12.278498532883383</c:v>
                </c:pt>
                <c:pt idx="897">
                  <c:v>-12.288542169065373</c:v>
                </c:pt>
                <c:pt idx="898">
                  <c:v>-12.298585808655446</c:v>
                </c:pt>
                <c:pt idx="899">
                  <c:v>-12.308629451653447</c:v>
                </c:pt>
                <c:pt idx="900">
                  <c:v>-12.318673098059218</c:v>
                </c:pt>
                <c:pt idx="901">
                  <c:v>-12.328716747872603</c:v>
                </c:pt>
                <c:pt idx="902">
                  <c:v>-12.338760401093444</c:v>
                </c:pt>
                <c:pt idx="903">
                  <c:v>-12.348804057721585</c:v>
                </c:pt>
                <c:pt idx="904">
                  <c:v>-12.35884771775687</c:v>
                </c:pt>
                <c:pt idx="905">
                  <c:v>-12.368891381199141</c:v>
                </c:pt>
                <c:pt idx="906">
                  <c:v>-12.378935048048243</c:v>
                </c:pt>
                <c:pt idx="907">
                  <c:v>-12.388978718304017</c:v>
                </c:pt>
                <c:pt idx="908">
                  <c:v>-12.399022391966307</c:v>
                </c:pt>
                <c:pt idx="909">
                  <c:v>-12.409066069034957</c:v>
                </c:pt>
                <c:pt idx="910">
                  <c:v>-12.41910974950981</c:v>
                </c:pt>
                <c:pt idx="911">
                  <c:v>-12.429153433390708</c:v>
                </c:pt>
                <c:pt idx="912">
                  <c:v>-12.439197120677495</c:v>
                </c:pt>
                <c:pt idx="913">
                  <c:v>-12.449240811370014</c:v>
                </c:pt>
                <c:pt idx="914">
                  <c:v>-12.45928450546811</c:v>
                </c:pt>
                <c:pt idx="915">
                  <c:v>-12.469328202971626</c:v>
                </c:pt>
                <c:pt idx="916">
                  <c:v>-12.479371903880404</c:v>
                </c:pt>
                <c:pt idx="917">
                  <c:v>-12.489415608194287</c:v>
                </c:pt>
                <c:pt idx="918">
                  <c:v>-12.49945931591312</c:v>
                </c:pt>
                <c:pt idx="919">
                  <c:v>-12.509503027036745</c:v>
                </c:pt>
                <c:pt idx="920">
                  <c:v>-12.519546741565005</c:v>
                </c:pt>
                <c:pt idx="921">
                  <c:v>-12.529590459497744</c:v>
                </c:pt>
                <c:pt idx="922">
                  <c:v>-12.539634180834804</c:v>
                </c:pt>
                <c:pt idx="923">
                  <c:v>-12.549677905576031</c:v>
                </c:pt>
                <c:pt idx="924">
                  <c:v>-12.559721633721265</c:v>
                </c:pt>
                <c:pt idx="925">
                  <c:v>-12.569765365270353</c:v>
                </c:pt>
                <c:pt idx="926">
                  <c:v>-12.579809100223136</c:v>
                </c:pt>
                <c:pt idx="927">
                  <c:v>-12.589852838579455</c:v>
                </c:pt>
                <c:pt idx="928">
                  <c:v>-12.599896580339157</c:v>
                </c:pt>
                <c:pt idx="929">
                  <c:v>-12.609940325502086</c:v>
                </c:pt>
                <c:pt idx="930">
                  <c:v>-12.619984074068082</c:v>
                </c:pt>
                <c:pt idx="931">
                  <c:v>-12.63002782603699</c:v>
                </c:pt>
                <c:pt idx="932">
                  <c:v>-12.640071581408654</c:v>
                </c:pt>
                <c:pt idx="933">
                  <c:v>-12.650115340182914</c:v>
                </c:pt>
                <c:pt idx="934">
                  <c:v>-12.660159102359618</c:v>
                </c:pt>
                <c:pt idx="935">
                  <c:v>-12.670202867938606</c:v>
                </c:pt>
                <c:pt idx="936">
                  <c:v>-12.680246636919723</c:v>
                </c:pt>
                <c:pt idx="937">
                  <c:v>-12.690290409302811</c:v>
                </c:pt>
                <c:pt idx="938">
                  <c:v>-12.700334185087714</c:v>
                </c:pt>
                <c:pt idx="939">
                  <c:v>-12.710377964274276</c:v>
                </c:pt>
                <c:pt idx="940">
                  <c:v>-12.720421746862339</c:v>
                </c:pt>
                <c:pt idx="941">
                  <c:v>-12.730465532851747</c:v>
                </c:pt>
                <c:pt idx="942">
                  <c:v>-12.740509322242344</c:v>
                </c:pt>
                <c:pt idx="943">
                  <c:v>-12.750553115033972</c:v>
                </c:pt>
                <c:pt idx="944">
                  <c:v>-12.760596911226475</c:v>
                </c:pt>
                <c:pt idx="945">
                  <c:v>-12.770640710819697</c:v>
                </c:pt>
                <c:pt idx="946">
                  <c:v>-12.78068451381348</c:v>
                </c:pt>
                <c:pt idx="947">
                  <c:v>-12.790728320207668</c:v>
                </c:pt>
                <c:pt idx="948">
                  <c:v>-12.800772130002104</c:v>
                </c:pt>
                <c:pt idx="949">
                  <c:v>-12.810815943196632</c:v>
                </c:pt>
                <c:pt idx="950">
                  <c:v>-12.820859759791094</c:v>
                </c:pt>
                <c:pt idx="951">
                  <c:v>-12.830903579785335</c:v>
                </c:pt>
                <c:pt idx="952">
                  <c:v>-12.840947403179198</c:v>
                </c:pt>
                <c:pt idx="953">
                  <c:v>-12.850991229972527</c:v>
                </c:pt>
                <c:pt idx="954">
                  <c:v>-12.861035060165165</c:v>
                </c:pt>
                <c:pt idx="955">
                  <c:v>-12.871078893756954</c:v>
                </c:pt>
                <c:pt idx="956">
                  <c:v>-12.881122730747739</c:v>
                </c:pt>
                <c:pt idx="957">
                  <c:v>-12.891166571137363</c:v>
                </c:pt>
                <c:pt idx="958">
                  <c:v>-12.90121041492567</c:v>
                </c:pt>
                <c:pt idx="959">
                  <c:v>-12.9112542621125</c:v>
                </c:pt>
                <c:pt idx="960">
                  <c:v>-12.9212981126977</c:v>
                </c:pt>
                <c:pt idx="961">
                  <c:v>-12.931341966681112</c:v>
                </c:pt>
                <c:pt idx="962">
                  <c:v>-12.94138582406258</c:v>
                </c:pt>
                <c:pt idx="963">
                  <c:v>-12.951429684841948</c:v>
                </c:pt>
                <c:pt idx="964">
                  <c:v>-12.961473549019058</c:v>
                </c:pt>
                <c:pt idx="965">
                  <c:v>-12.971517416593752</c:v>
                </c:pt>
                <c:pt idx="966">
                  <c:v>-12.981561287565876</c:v>
                </c:pt>
                <c:pt idx="967">
                  <c:v>-12.991605161935274</c:v>
                </c:pt>
                <c:pt idx="968">
                  <c:v>-13.001649039701787</c:v>
                </c:pt>
                <c:pt idx="969">
                  <c:v>-13.01169292086526</c:v>
                </c:pt>
                <c:pt idx="970">
                  <c:v>-13.021736805425535</c:v>
                </c:pt>
                <c:pt idx="971">
                  <c:v>-13.031780693382457</c:v>
                </c:pt>
                <c:pt idx="972">
                  <c:v>-13.041824584735869</c:v>
                </c:pt>
                <c:pt idx="973">
                  <c:v>-13.051868479485613</c:v>
                </c:pt>
                <c:pt idx="974">
                  <c:v>-13.061912377631534</c:v>
                </c:pt>
                <c:pt idx="975">
                  <c:v>-13.071956279173476</c:v>
                </c:pt>
                <c:pt idx="976">
                  <c:v>-13.08200018411128</c:v>
                </c:pt>
                <c:pt idx="977">
                  <c:v>-13.092044092444791</c:v>
                </c:pt>
                <c:pt idx="978">
                  <c:v>-13.102088004173853</c:v>
                </c:pt>
                <c:pt idx="979">
                  <c:v>-13.112131919298308</c:v>
                </c:pt>
                <c:pt idx="980">
                  <c:v>-13.122175837818</c:v>
                </c:pt>
                <c:pt idx="981">
                  <c:v>-13.132219759732774</c:v>
                </c:pt>
                <c:pt idx="982">
                  <c:v>-13.142263685042471</c:v>
                </c:pt>
                <c:pt idx="983">
                  <c:v>-13.152307613746935</c:v>
                </c:pt>
                <c:pt idx="984">
                  <c:v>-13.162351545846009</c:v>
                </c:pt>
                <c:pt idx="985">
                  <c:v>-13.172395481339539</c:v>
                </c:pt>
                <c:pt idx="986">
                  <c:v>-13.182439420227366</c:v>
                </c:pt>
                <c:pt idx="987">
                  <c:v>-13.192483362509336</c:v>
                </c:pt>
                <c:pt idx="988">
                  <c:v>-13.202527308185289</c:v>
                </c:pt>
                <c:pt idx="989">
                  <c:v>-13.212571257255071</c:v>
                </c:pt>
                <c:pt idx="990">
                  <c:v>-13.222615209718525</c:v>
                </c:pt>
                <c:pt idx="991">
                  <c:v>-13.232659165575493</c:v>
                </c:pt>
                <c:pt idx="992">
                  <c:v>-13.24270312482582</c:v>
                </c:pt>
                <c:pt idx="993">
                  <c:v>-13.252747087469348</c:v>
                </c:pt>
                <c:pt idx="994">
                  <c:v>-13.262791053505923</c:v>
                </c:pt>
                <c:pt idx="995">
                  <c:v>-13.272835022935388</c:v>
                </c:pt>
                <c:pt idx="996">
                  <c:v>-13.282878995757585</c:v>
                </c:pt>
                <c:pt idx="997">
                  <c:v>-13.292922971972358</c:v>
                </c:pt>
                <c:pt idx="998">
                  <c:v>-13.302966951579551</c:v>
                </c:pt>
                <c:pt idx="999">
                  <c:v>-13.313010934579006</c:v>
                </c:pt>
                <c:pt idx="1000">
                  <c:v>-13.323054920970568</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0</c:v>
                </c:pt>
                <c:pt idx="1">
                  <c:v>0</c:v>
                </c:pt>
                <c:pt idx="2">
                  <c:v>0</c:v>
                </c:pt>
                <c:pt idx="3">
                  <c:v>0</c:v>
                </c:pt>
                <c:pt idx="4">
                  <c:v>0</c:v>
                </c:pt>
                <c:pt idx="5">
                  <c:v>0</c:v>
                </c:pt>
                <c:pt idx="6">
                  <c:v>0</c:v>
                </c:pt>
              </c:numCache>
            </c:numRef>
          </c:xVal>
          <c:yVal>
            <c:numRef>
              <c:f>Trajecto!$C$141:$C$147</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100.55190764607381</c:v>
                </c:pt>
                <c:pt idx="1">
                  <c:v>100.92604032284854</c:v>
                </c:pt>
                <c:pt idx="2">
                  <c:v>101.30056185187142</c:v>
                </c:pt>
                <c:pt idx="3">
                  <c:v>101.67615520798351</c:v>
                </c:pt>
                <c:pt idx="4">
                  <c:v>102.05294395472689</c:v>
                </c:pt>
                <c:pt idx="5">
                  <c:v>102.43080894283966</c:v>
                </c:pt>
                <c:pt idx="6">
                  <c:v>102.80970501910835</c:v>
                </c:pt>
                <c:pt idx="7">
                  <c:v>103.18962403209747</c:v>
                </c:pt>
                <c:pt idx="8">
                  <c:v>103.57055783392802</c:v>
                </c:pt>
                <c:pt idx="9">
                  <c:v>103.95249828051944</c:v>
                </c:pt>
                <c:pt idx="10">
                  <c:v>104.33543723182839</c:v>
                </c:pt>
                <c:pt idx="11">
                  <c:v>104.71936655208435</c:v>
                </c:pt>
                <c:pt idx="12">
                  <c:v>105.10427811002194</c:v>
                </c:pt>
                <c:pt idx="13">
                  <c:v>105.49016377911016</c:v>
                </c:pt>
                <c:pt idx="14">
                  <c:v>105.8770154377785</c:v>
                </c:pt>
                <c:pt idx="15">
                  <c:v>106.26482496963975</c:v>
                </c:pt>
                <c:pt idx="16">
                  <c:v>106.65358426370982</c:v>
                </c:pt>
                <c:pt idx="17">
                  <c:v>107.04328521462438</c:v>
                </c:pt>
                <c:pt idx="18">
                  <c:v>107.43391972285235</c:v>
                </c:pt>
                <c:pt idx="19">
                  <c:v>107.82547969490638</c:v>
                </c:pt>
                <c:pt idx="20">
                  <c:v>108.21795704355014</c:v>
                </c:pt>
                <c:pt idx="21">
                  <c:v>108.61134368800262</c:v>
                </c:pt>
                <c:pt idx="22">
                  <c:v>109.00563155413931</c:v>
                </c:pt>
                <c:pt idx="23">
                  <c:v>109.40081257469038</c:v>
                </c:pt>
                <c:pt idx="24">
                  <c:v>109.79687868943574</c:v>
                </c:pt>
                <c:pt idx="25">
                  <c:v>110.19382184539721</c:v>
                </c:pt>
                <c:pt idx="26">
                  <c:v>110.59163399702757</c:v>
                </c:pt>
                <c:pt idx="27">
                  <c:v>110.99030710639666</c:v>
                </c:pt>
                <c:pt idx="28">
                  <c:v>111.38983314337447</c:v>
                </c:pt>
                <c:pt idx="29">
                  <c:v>111.79020408581137</c:v>
                </c:pt>
                <c:pt idx="30">
                  <c:v>112.19141191971519</c:v>
                </c:pt>
                <c:pt idx="31">
                  <c:v>112.59344863942562</c:v>
                </c:pt>
                <c:pt idx="32">
                  <c:v>112.9963062477854</c:v>
                </c:pt>
                <c:pt idx="33">
                  <c:v>113.39997675630889</c:v>
                </c:pt>
                <c:pt idx="34">
                  <c:v>113.80445218534751</c:v>
                </c:pt>
                <c:pt idx="35">
                  <c:v>114.20972456425248</c:v>
                </c:pt>
                <c:pt idx="36">
                  <c:v>114.61578593153457</c:v>
                </c:pt>
                <c:pt idx="37">
                  <c:v>115.02262833502108</c:v>
                </c:pt>
                <c:pt idx="38">
                  <c:v>115.43024383200995</c:v>
                </c:pt>
                <c:pt idx="39">
                  <c:v>115.83862448942109</c:v>
                </c:pt>
                <c:pt idx="40">
                  <c:v>116.2477623839449</c:v>
                </c:pt>
                <c:pt idx="41">
                  <c:v>116.65764960218796</c:v>
                </c:pt>
                <c:pt idx="42">
                  <c:v>117.06827824081603</c:v>
                </c:pt>
                <c:pt idx="43">
                  <c:v>117.47964040669426</c:v>
                </c:pt>
                <c:pt idx="44">
                  <c:v>117.89172821702464</c:v>
                </c:pt>
                <c:pt idx="45">
                  <c:v>118.30453379948078</c:v>
                </c:pt>
                <c:pt idx="46">
                  <c:v>118.71804929233997</c:v>
                </c:pt>
                <c:pt idx="47">
                  <c:v>119.13226684461254</c:v>
                </c:pt>
                <c:pt idx="48">
                  <c:v>119.54717861616859</c:v>
                </c:pt>
                <c:pt idx="49">
                  <c:v>119.962776777862</c:v>
                </c:pt>
                <c:pt idx="50">
                  <c:v>120.3790535116519</c:v>
                </c:pt>
                <c:pt idx="51">
                  <c:v>120.79600101072143</c:v>
                </c:pt>
                <c:pt idx="52">
                  <c:v>121.21361147959395</c:v>
                </c:pt>
                <c:pt idx="53">
                  <c:v>121.63187713424669</c:v>
                </c:pt>
                <c:pt idx="54">
                  <c:v>122.05079020222178</c:v>
                </c:pt>
                <c:pt idx="55">
                  <c:v>122.47034292273473</c:v>
                </c:pt>
                <c:pt idx="56">
                  <c:v>122.89052754678043</c:v>
                </c:pt>
                <c:pt idx="57">
                  <c:v>123.31133633723663</c:v>
                </c:pt>
                <c:pt idx="58">
                  <c:v>123.73276156896485</c:v>
                </c:pt>
                <c:pt idx="59">
                  <c:v>124.15479552890891</c:v>
                </c:pt>
                <c:pt idx="60">
                  <c:v>124.5774305161909</c:v>
                </c:pt>
                <c:pt idx="61">
                  <c:v>125.00065884220486</c:v>
                </c:pt>
                <c:pt idx="62">
                  <c:v>125.42447283070778</c:v>
                </c:pt>
                <c:pt idx="63">
                  <c:v>125.84886149391824</c:v>
                </c:pt>
                <c:pt idx="64">
                  <c:v>126.27380721150455</c:v>
                </c:pt>
                <c:pt idx="65">
                  <c:v>126.69928906589641</c:v>
                </c:pt>
                <c:pt idx="66">
                  <c:v>127.12528617486321</c:v>
                </c:pt>
                <c:pt idx="67">
                  <c:v>127.55177463823554</c:v>
                </c:pt>
                <c:pt idx="68">
                  <c:v>127.97872448764024</c:v>
                </c:pt>
                <c:pt idx="69">
                  <c:v>128.4060973144752</c:v>
                </c:pt>
                <c:pt idx="70">
                  <c:v>128.83384390104194</c:v>
                </c:pt>
                <c:pt idx="71">
                  <c:v>129.2619096789256</c:v>
                </c:pt>
                <c:pt idx="72">
                  <c:v>129.69024018201853</c:v>
                </c:pt>
                <c:pt idx="73">
                  <c:v>130.11878104850328</c:v>
                </c:pt>
                <c:pt idx="74">
                  <c:v>130.5474780227371</c:v>
                </c:pt>
                <c:pt idx="75">
                  <c:v>130.97627695703846</c:v>
                </c:pt>
                <c:pt idx="76">
                  <c:v>131.4051238133766</c:v>
                </c:pt>
                <c:pt idx="77">
                  <c:v>131.83396466496453</c:v>
                </c:pt>
                <c:pt idx="78">
                  <c:v>132.26274569775643</c:v>
                </c:pt>
                <c:pt idx="79">
                  <c:v>132.69141321185018</c:v>
                </c:pt>
                <c:pt idx="80">
                  <c:v>133.11991362279562</c:v>
                </c:pt>
                <c:pt idx="81">
                  <c:v>133.54819997112764</c:v>
                </c:pt>
                <c:pt idx="82">
                  <c:v>133.97623842075626</c:v>
                </c:pt>
                <c:pt idx="83">
                  <c:v>134.40400172147773</c:v>
                </c:pt>
                <c:pt idx="84">
                  <c:v>134.83146268199144</c:v>
                </c:pt>
                <c:pt idx="85">
                  <c:v>135.25859416987581</c:v>
                </c:pt>
                <c:pt idx="86">
                  <c:v>135.68536911154206</c:v>
                </c:pt>
                <c:pt idx="87">
                  <c:v>136.1117604921661</c:v>
                </c:pt>
                <c:pt idx="88">
                  <c:v>136.53774135559871</c:v>
                </c:pt>
                <c:pt idx="89">
                  <c:v>136.96328686902487</c:v>
                </c:pt>
                <c:pt idx="90">
                  <c:v>137.3883763838366</c:v>
                </c:pt>
                <c:pt idx="91">
                  <c:v>137.8129913608669</c:v>
                </c:pt>
                <c:pt idx="92">
                  <c:v>138.23711329934775</c:v>
                </c:pt>
                <c:pt idx="93">
                  <c:v>138.6607242540052</c:v>
                </c:pt>
                <c:pt idx="94">
                  <c:v>139.08380735118584</c:v>
                </c:pt>
                <c:pt idx="95">
                  <c:v>139.50634626880674</c:v>
                </c:pt>
                <c:pt idx="96">
                  <c:v>139.92832471726067</c:v>
                </c:pt>
                <c:pt idx="97">
                  <c:v>140.34972851287969</c:v>
                </c:pt>
                <c:pt idx="98">
                  <c:v>140.77054764750375</c:v>
                </c:pt>
                <c:pt idx="99">
                  <c:v>141.1907742045525</c:v>
                </c:pt>
                <c:pt idx="100">
                  <c:v>141.61040027903402</c:v>
                </c:pt>
                <c:pt idx="101">
                  <c:v>142.02941797737574</c:v>
                </c:pt>
                <c:pt idx="102">
                  <c:v>142.44781941725401</c:v>
                </c:pt>
                <c:pt idx="103">
                  <c:v>142.86559672742277</c:v>
                </c:pt>
                <c:pt idx="104">
                  <c:v>143.28274204754115</c:v>
                </c:pt>
                <c:pt idx="105">
                  <c:v>143.69924752799989</c:v>
                </c:pt>
                <c:pt idx="106">
                  <c:v>144.11510532974677</c:v>
                </c:pt>
                <c:pt idx="107">
                  <c:v>144.53030762411097</c:v>
                </c:pt>
                <c:pt idx="108">
                  <c:v>144.94484659262636</c:v>
                </c:pt>
                <c:pt idx="109">
                  <c:v>145.35871703526783</c:v>
                </c:pt>
                <c:pt idx="110">
                  <c:v>145.77191897388084</c:v>
                </c:pt>
                <c:pt idx="111">
                  <c:v>146.18445503137644</c:v>
                </c:pt>
                <c:pt idx="112">
                  <c:v>146.59632781587854</c:v>
                </c:pt>
                <c:pt idx="113">
                  <c:v>147.00753992083642</c:v>
                </c:pt>
                <c:pt idx="114">
                  <c:v>147.41809392513633</c:v>
                </c:pt>
                <c:pt idx="115">
                  <c:v>147.82799239321179</c:v>
                </c:pt>
                <c:pt idx="116">
                  <c:v>148.237237875153</c:v>
                </c:pt>
                <c:pt idx="117">
                  <c:v>148.64583290681523</c:v>
                </c:pt>
                <c:pt idx="118">
                  <c:v>149.0537800099261</c:v>
                </c:pt>
                <c:pt idx="119">
                  <c:v>149.46108169219184</c:v>
                </c:pt>
                <c:pt idx="120">
                  <c:v>149.8677404474027</c:v>
                </c:pt>
                <c:pt idx="121">
                  <c:v>150.2737587555371</c:v>
                </c:pt>
                <c:pt idx="122">
                  <c:v>150.67913908286516</c:v>
                </c:pt>
                <c:pt idx="123">
                  <c:v>151.08388388205091</c:v>
                </c:pt>
                <c:pt idx="124">
                  <c:v>151.48799559225375</c:v>
                </c:pt>
                <c:pt idx="125">
                  <c:v>151.89147663922896</c:v>
                </c:pt>
                <c:pt idx="126">
                  <c:v>152.29432943542716</c:v>
                </c:pt>
                <c:pt idx="127">
                  <c:v>152.69655638009294</c:v>
                </c:pt>
                <c:pt idx="128">
                  <c:v>153.09815985936257</c:v>
                </c:pt>
                <c:pt idx="129">
                  <c:v>153.49914224636075</c:v>
                </c:pt>
                <c:pt idx="130">
                  <c:v>153.89950590129652</c:v>
                </c:pt>
                <c:pt idx="131">
                  <c:v>154.29925317155826</c:v>
                </c:pt>
                <c:pt idx="132">
                  <c:v>154.69838639180787</c:v>
                </c:pt>
                <c:pt idx="133">
                  <c:v>155.09690788407394</c:v>
                </c:pt>
                <c:pt idx="134">
                  <c:v>155.49481995784427</c:v>
                </c:pt>
                <c:pt idx="135">
                  <c:v>155.89212491015735</c:v>
                </c:pt>
                <c:pt idx="136">
                  <c:v>156.28882502569311</c:v>
                </c:pt>
                <c:pt idx="137">
                  <c:v>156.68492257686287</c:v>
                </c:pt>
                <c:pt idx="138">
                  <c:v>157.08041982389841</c:v>
                </c:pt>
                <c:pt idx="139">
                  <c:v>157.47531901494017</c:v>
                </c:pt>
                <c:pt idx="140">
                  <c:v>157.8696223861248</c:v>
                </c:pt>
                <c:pt idx="141">
                  <c:v>158.26333216167188</c:v>
                </c:pt>
                <c:pt idx="142">
                  <c:v>158.65645055396971</c:v>
                </c:pt>
                <c:pt idx="143">
                  <c:v>159.04897976366047</c:v>
                </c:pt>
                <c:pt idx="144">
                  <c:v>159.44092197972466</c:v>
                </c:pt>
                <c:pt idx="145">
                  <c:v>159.83227937956462</c:v>
                </c:pt>
                <c:pt idx="146">
                  <c:v>160.22305412908739</c:v>
                </c:pt>
                <c:pt idx="147">
                  <c:v>160.61324838278682</c:v>
                </c:pt>
                <c:pt idx="148">
                  <c:v>161.00286428382501</c:v>
                </c:pt>
                <c:pt idx="149">
                  <c:v>161.39190396411283</c:v>
                </c:pt>
                <c:pt idx="150">
                  <c:v>161.78036954438997</c:v>
                </c:pt>
                <c:pt idx="151">
                  <c:v>162.16826313430411</c:v>
                </c:pt>
                <c:pt idx="152">
                  <c:v>162.55558683248947</c:v>
                </c:pt>
                <c:pt idx="153">
                  <c:v>162.9423427266446</c:v>
                </c:pt>
                <c:pt idx="154">
                  <c:v>163.32853289360952</c:v>
                </c:pt>
                <c:pt idx="155">
                  <c:v>163.71415939944217</c:v>
                </c:pt>
                <c:pt idx="156">
                  <c:v>164.09922429949424</c:v>
                </c:pt>
                <c:pt idx="157">
                  <c:v>164.48372963848624</c:v>
                </c:pt>
                <c:pt idx="158">
                  <c:v>164.86767745058194</c:v>
                </c:pt>
                <c:pt idx="159">
                  <c:v>165.25106975946221</c:v>
                </c:pt>
                <c:pt idx="160">
                  <c:v>165.63390857839821</c:v>
                </c:pt>
                <c:pt idx="161">
                  <c:v>166.0161959103238</c:v>
                </c:pt>
                <c:pt idx="162">
                  <c:v>166.39793374790756</c:v>
                </c:pt>
                <c:pt idx="163">
                  <c:v>166.77912407362393</c:v>
                </c:pt>
                <c:pt idx="164">
                  <c:v>167.15976885982394</c:v>
                </c:pt>
                <c:pt idx="165">
                  <c:v>167.53987006880521</c:v>
                </c:pt>
                <c:pt idx="166">
                  <c:v>167.9194296528814</c:v>
                </c:pt>
                <c:pt idx="167">
                  <c:v>168.298449554451</c:v>
                </c:pt>
                <c:pt idx="168">
                  <c:v>168.67693170606557</c:v>
                </c:pt>
                <c:pt idx="169">
                  <c:v>169.05487803049741</c:v>
                </c:pt>
                <c:pt idx="170">
                  <c:v>169.43229044080658</c:v>
                </c:pt>
                <c:pt idx="171">
                  <c:v>169.80917084040746</c:v>
                </c:pt>
                <c:pt idx="172">
                  <c:v>170.18552112313461</c:v>
                </c:pt>
                <c:pt idx="173">
                  <c:v>170.56134317330813</c:v>
                </c:pt>
                <c:pt idx="174">
                  <c:v>170.93663886579847</c:v>
                </c:pt>
                <c:pt idx="175">
                  <c:v>171.3114100660907</c:v>
                </c:pt>
                <c:pt idx="176">
                  <c:v>171.6856586303482</c:v>
                </c:pt>
                <c:pt idx="177">
                  <c:v>172.05938640547578</c:v>
                </c:pt>
                <c:pt idx="178">
                  <c:v>172.43259522918234</c:v>
                </c:pt>
                <c:pt idx="179">
                  <c:v>172.805286930043</c:v>
                </c:pt>
                <c:pt idx="180">
                  <c:v>173.17746332756056</c:v>
                </c:pt>
                <c:pt idx="181">
                  <c:v>173.54912623222671</c:v>
                </c:pt>
                <c:pt idx="182">
                  <c:v>173.9202774455824</c:v>
                </c:pt>
                <c:pt idx="183">
                  <c:v>174.290918760278</c:v>
                </c:pt>
                <c:pt idx="184">
                  <c:v>174.6610519601328</c:v>
                </c:pt>
                <c:pt idx="185">
                  <c:v>175.03067882019394</c:v>
                </c:pt>
                <c:pt idx="186">
                  <c:v>175.39980110679511</c:v>
                </c:pt>
                <c:pt idx="187">
                  <c:v>175.76842057761442</c:v>
                </c:pt>
                <c:pt idx="188">
                  <c:v>176.13653898173212</c:v>
                </c:pt>
                <c:pt idx="189">
                  <c:v>176.5041580596876</c:v>
                </c:pt>
                <c:pt idx="190">
                  <c:v>176.87127954353599</c:v>
                </c:pt>
                <c:pt idx="191">
                  <c:v>177.23790515690433</c:v>
                </c:pt>
                <c:pt idx="192">
                  <c:v>177.60403661504728</c:v>
                </c:pt>
                <c:pt idx="193">
                  <c:v>177.96967562490224</c:v>
                </c:pt>
                <c:pt idx="194">
                  <c:v>178.33482388514423</c:v>
                </c:pt>
                <c:pt idx="195">
                  <c:v>178.69948308624012</c:v>
                </c:pt>
                <c:pt idx="196">
                  <c:v>179.06365491050252</c:v>
                </c:pt>
                <c:pt idx="197">
                  <c:v>179.4273410321432</c:v>
                </c:pt>
                <c:pt idx="198">
                  <c:v>179.79054311732608</c:v>
                </c:pt>
                <c:pt idx="199">
                  <c:v>180.15326282421978</c:v>
                </c:pt>
                <c:pt idx="200">
                  <c:v>180.51550180304974</c:v>
                </c:pt>
                <c:pt idx="201">
                  <c:v>184.11157874023593</c:v>
                </c:pt>
                <c:pt idx="202">
                  <c:v>187.66063740175545</c:v>
                </c:pt>
                <c:pt idx="203">
                  <c:v>191.16425679337243</c:v>
                </c:pt>
                <c:pt idx="204">
                  <c:v>194.62394279285203</c:v>
                </c:pt>
                <c:pt idx="205">
                  <c:v>198.04113270526688</c:v>
                </c:pt>
                <c:pt idx="206">
                  <c:v>201.41719946782726</c:v>
                </c:pt>
                <c:pt idx="207">
                  <c:v>204.75345553626181</c:v>
                </c:pt>
                <c:pt idx="208">
                  <c:v>208.05115648139795</c:v>
                </c:pt>
                <c:pt idx="209">
                  <c:v>211.31150432161854</c:v>
                </c:pt>
                <c:pt idx="210">
                  <c:v>214.53565061424416</c:v>
                </c:pt>
                <c:pt idx="211">
                  <c:v>217.72469932656918</c:v>
                </c:pt>
                <c:pt idx="212">
                  <c:v>220.87970950522075</c:v>
                </c:pt>
                <c:pt idx="213">
                  <c:v>224.00169776068293</c:v>
                </c:pt>
                <c:pt idx="214">
                  <c:v>227.0916405822033</c:v>
                </c:pt>
                <c:pt idx="215">
                  <c:v>230.15047649685027</c:v>
                </c:pt>
                <c:pt idx="216">
                  <c:v>233.17910808519844</c:v>
                </c:pt>
                <c:pt idx="217">
                  <c:v>236.17840386496238</c:v>
                </c:pt>
                <c:pt idx="218">
                  <c:v>239.14920005286635</c:v>
                </c:pt>
                <c:pt idx="219">
                  <c:v>242.09230221410851</c:v>
                </c:pt>
                <c:pt idx="220">
                  <c:v>245.0084868079457</c:v>
                </c:pt>
                <c:pt idx="221">
                  <c:v>247.89850263717545</c:v>
                </c:pt>
                <c:pt idx="222">
                  <c:v>250.76307220861648</c:v>
                </c:pt>
                <c:pt idx="223">
                  <c:v>253.60289301108037</c:v>
                </c:pt>
                <c:pt idx="224">
                  <c:v>256.41863871677708</c:v>
                </c:pt>
                <c:pt idx="225">
                  <c:v>259.21096031159942</c:v>
                </c:pt>
                <c:pt idx="226">
                  <c:v>261.98048715928081</c:v>
                </c:pt>
                <c:pt idx="227">
                  <c:v>264.72782800401296</c:v>
                </c:pt>
                <c:pt idx="228">
                  <c:v>267.45357191573822</c:v>
                </c:pt>
                <c:pt idx="229">
                  <c:v>270.15828918199435</c:v>
                </c:pt>
                <c:pt idx="230">
                  <c:v>272.8425321498828</c:v>
                </c:pt>
                <c:pt idx="231">
                  <c:v>275.50683602145193</c:v>
                </c:pt>
                <c:pt idx="232">
                  <c:v>278.15171960553005</c:v>
                </c:pt>
                <c:pt idx="233">
                  <c:v>280.77768602881218</c:v>
                </c:pt>
                <c:pt idx="234">
                  <c:v>283.38522340878882</c:v>
                </c:pt>
                <c:pt idx="235">
                  <c:v>285.97480549091119</c:v>
                </c:pt>
                <c:pt idx="236">
                  <c:v>288.54689225220818</c:v>
                </c:pt>
                <c:pt idx="237">
                  <c:v>291.10193047340493</c:v>
                </c:pt>
                <c:pt idx="238">
                  <c:v>293.64035428144274</c:v>
                </c:pt>
                <c:pt idx="239">
                  <c:v>296.16258566416099</c:v>
                </c:pt>
                <c:pt idx="240">
                  <c:v>298.66903495877284</c:v>
                </c:pt>
                <c:pt idx="241">
                  <c:v>301.16010131564877</c:v>
                </c:pt>
                <c:pt idx="242">
                  <c:v>303.63617313881304</c:v>
                </c:pt>
                <c:pt idx="243">
                  <c:v>306.09762850445628</c:v>
                </c:pt>
                <c:pt idx="244">
                  <c:v>308.54483555867398</c:v>
                </c:pt>
                <c:pt idx="245">
                  <c:v>310.97815289555388</c:v>
                </c:pt>
                <c:pt idx="246">
                  <c:v>313.39792991665399</c:v>
                </c:pt>
                <c:pt idx="247">
                  <c:v>315.80450717283736</c:v>
                </c:pt>
                <c:pt idx="248">
                  <c:v>318.19821668935936</c:v>
                </c:pt>
                <c:pt idx="249">
                  <c:v>320.57938227503723</c:v>
                </c:pt>
                <c:pt idx="250">
                  <c:v>322.94831981626947</c:v>
                </c:pt>
                <c:pt idx="251">
                  <c:v>325.30533755661446</c:v>
                </c:pt>
                <c:pt idx="252">
                  <c:v>327.65073636258188</c:v>
                </c:pt>
                <c:pt idx="253">
                  <c:v>329.9848099762396</c:v>
                </c:pt>
                <c:pt idx="254">
                  <c:v>332.30784525518692</c:v>
                </c:pt>
                <c:pt idx="255">
                  <c:v>334.62012240039923</c:v>
                </c:pt>
                <c:pt idx="256">
                  <c:v>336.92191517240275</c:v>
                </c:pt>
                <c:pt idx="257">
                  <c:v>339.21349109619365</c:v>
                </c:pt>
                <c:pt idx="258">
                  <c:v>341.49511165527343</c:v>
                </c:pt>
                <c:pt idx="259">
                  <c:v>343.7670324751312</c:v>
                </c:pt>
                <c:pt idx="260">
                  <c:v>346.02950349646113</c:v>
                </c:pt>
                <c:pt idx="261">
                  <c:v>348.28276913836476</c:v>
                </c:pt>
                <c:pt idx="262">
                  <c:v>350.52706845174635</c:v>
                </c:pt>
                <c:pt idx="263">
                  <c:v>352.76263526306946</c:v>
                </c:pt>
                <c:pt idx="264">
                  <c:v>354.98969830860358</c:v>
                </c:pt>
                <c:pt idx="265">
                  <c:v>357.20848135924774</c:v>
                </c:pt>
                <c:pt idx="266">
                  <c:v>359.4192033359767</c:v>
                </c:pt>
                <c:pt idx="267">
                  <c:v>361.62207841591407</c:v>
                </c:pt>
                <c:pt idx="268">
                  <c:v>363.81731612899159</c:v>
                </c:pt>
                <c:pt idx="269">
                  <c:v>366.00512144511066</c:v>
                </c:pt>
                <c:pt idx="270">
                  <c:v>368.18569485167592</c:v>
                </c:pt>
                <c:pt idx="271">
                  <c:v>370.35923242132276</c:v>
                </c:pt>
                <c:pt idx="272">
                  <c:v>372.52592586961379</c:v>
                </c:pt>
                <c:pt idx="273">
                  <c:v>374.68596260242811</c:v>
                </c:pt>
                <c:pt idx="274">
                  <c:v>376.83952575271792</c:v>
                </c:pt>
                <c:pt idx="275">
                  <c:v>378.98679420625666</c:v>
                </c:pt>
                <c:pt idx="276">
                  <c:v>381.12794261595263</c:v>
                </c:pt>
                <c:pt idx="277">
                  <c:v>383.2631414042537</c:v>
                </c:pt>
                <c:pt idx="278">
                  <c:v>385.39255675312518</c:v>
                </c:pt>
                <c:pt idx="279">
                  <c:v>387.5163505810421</c:v>
                </c:pt>
                <c:pt idx="280">
                  <c:v>389.63468050640768</c:v>
                </c:pt>
                <c:pt idx="281">
                  <c:v>391.74769979678939</c:v>
                </c:pt>
                <c:pt idx="282">
                  <c:v>393.85555730336176</c:v>
                </c:pt>
                <c:pt idx="283">
                  <c:v>395.95839737996414</c:v>
                </c:pt>
                <c:pt idx="284">
                  <c:v>398.056359786229</c:v>
                </c:pt>
                <c:pt idx="285">
                  <c:v>400.1495795743208</c:v>
                </c:pt>
                <c:pt idx="286">
                  <c:v>402.23818695895613</c:v>
                </c:pt>
                <c:pt idx="287">
                  <c:v>404.32230717056086</c:v>
                </c:pt>
                <c:pt idx="288">
                  <c:v>406.40206029167427</c:v>
                </c:pt>
                <c:pt idx="289">
                  <c:v>408.47756107703992</c:v>
                </c:pt>
                <c:pt idx="290">
                  <c:v>410.54891875824018</c:v>
                </c:pt>
                <c:pt idx="291">
                  <c:v>412.61623683424227</c:v>
                </c:pt>
                <c:pt idx="292">
                  <c:v>414.67961284982931</c:v>
                </c:pt>
                <c:pt idx="293">
                  <c:v>416.73913816458372</c:v>
                </c:pt>
                <c:pt idx="294">
                  <c:v>418.79489771585821</c:v>
                </c:pt>
                <c:pt idx="295">
                  <c:v>420.84696977998033</c:v>
                </c:pt>
                <c:pt idx="296">
                  <c:v>422.89542573674697</c:v>
                </c:pt>
                <c:pt idx="297">
                  <c:v>424.94032984301776</c:v>
                </c:pt>
                <c:pt idx="298">
                  <c:v>426.98173902183544</c:v>
                </c:pt>
                <c:pt idx="299">
                  <c:v>429.0197026739126</c:v>
                </c:pt>
                <c:pt idx="300">
                  <c:v>431.05426251844233</c:v>
                </c:pt>
                <c:pt idx="301">
                  <c:v>433.08545246995413</c:v>
                </c:pt>
                <c:pt idx="302">
                  <c:v>435.11329855730128</c:v>
                </c:pt>
                <c:pt idx="303">
                  <c:v>437.13781888982538</c:v>
                </c:pt>
                <c:pt idx="304">
                  <c:v>439.15902367434205</c:v>
                </c:pt>
                <c:pt idx="305">
                  <c:v>441.17691528490633</c:v>
                </c:pt>
                <c:pt idx="306">
                  <c:v>443.19148838547403</c:v>
                </c:pt>
                <c:pt idx="307">
                  <c:v>445.20273010371625</c:v>
                </c:pt>
                <c:pt idx="308">
                  <c:v>447.21062025251865</c:v>
                </c:pt>
                <c:pt idx="309">
                  <c:v>449.21513159422949</c:v>
                </c:pt>
                <c:pt idx="310">
                  <c:v>451.2162301416098</c:v>
                </c:pt>
                <c:pt idx="311">
                  <c:v>453.21387548873304</c:v>
                </c:pt>
                <c:pt idx="312">
                  <c:v>455.2080211647841</c:v>
                </c:pt>
                <c:pt idx="313">
                  <c:v>457.19861500378744</c:v>
                </c:pt>
                <c:pt idx="314">
                  <c:v>459.1855995236819</c:v>
                </c:pt>
                <c:pt idx="315">
                  <c:v>461.16891230878042</c:v>
                </c:pt>
                <c:pt idx="316">
                  <c:v>463.14848639042242</c:v>
                </c:pt>
                <c:pt idx="317">
                  <c:v>465.12425062146679</c:v>
                </c:pt>
                <c:pt idx="318">
                  <c:v>467.09613004112248</c:v>
                </c:pt>
                <c:pt idx="319">
                  <c:v>469.06404622742235</c:v>
                </c:pt>
                <c:pt idx="320">
                  <c:v>471.02791763538141</c:v>
                </c:pt>
                <c:pt idx="321">
                  <c:v>472.98765991952394</c:v>
                </c:pt>
                <c:pt idx="322">
                  <c:v>474.94318624000749</c:v>
                </c:pt>
                <c:pt idx="323">
                  <c:v>476.89440755201758</c:v>
                </c:pt>
                <c:pt idx="324">
                  <c:v>478.84123287845932</c:v>
                </c:pt>
                <c:pt idx="325">
                  <c:v>480.78356956624242</c:v>
                </c:pt>
                <c:pt idx="326">
                  <c:v>482.7213235266567</c:v>
                </c:pt>
                <c:pt idx="327">
                  <c:v>484.65439946047286</c:v>
                </c:pt>
                <c:pt idx="328">
                  <c:v>486.5827010684971</c:v>
                </c:pt>
                <c:pt idx="329">
                  <c:v>488.50613124835866</c:v>
                </c:pt>
                <c:pt idx="330">
                  <c:v>490.42459227833376</c:v>
                </c:pt>
                <c:pt idx="331">
                  <c:v>492.33798598900933</c:v>
                </c:pt>
                <c:pt idx="332">
                  <c:v>494.24621392357278</c:v>
                </c:pt>
                <c:pt idx="333">
                  <c:v>496.14917748748769</c:v>
                </c:pt>
                <c:pt idx="334">
                  <c:v>498.0467780882783</c:v>
                </c:pt>
                <c:pt idx="335">
                  <c:v>499.9389172661061</c:v>
                </c:pt>
                <c:pt idx="336">
                  <c:v>501.82549681577774</c:v>
                </c:pt>
                <c:pt idx="337">
                  <c:v>503.70641890078076</c:v>
                </c:pt>
                <c:pt idx="338">
                  <c:v>505.58158615989953</c:v>
                </c:pt>
                <c:pt idx="339">
                  <c:v>507.45090180692137</c:v>
                </c:pt>
                <c:pt idx="340">
                  <c:v>509.31426972390307</c:v>
                </c:pt>
                <c:pt idx="341">
                  <c:v>511.17159454842954</c:v>
                </c:pt>
                <c:pt idx="342">
                  <c:v>513.02278175526078</c:v>
                </c:pt>
                <c:pt idx="343">
                  <c:v>514.86773773272989</c:v>
                </c:pt>
                <c:pt idx="344">
                  <c:v>516.70636985422516</c:v>
                </c:pt>
                <c:pt idx="345">
                  <c:v>518.53858654505939</c:v>
                </c:pt>
                <c:pt idx="346">
                  <c:v>520.36429734500666</c:v>
                </c:pt>
                <c:pt idx="347">
                  <c:v>522.18341296675965</c:v>
                </c:pt>
                <c:pt idx="348">
                  <c:v>523.99584535054294</c:v>
                </c:pt>
                <c:pt idx="349">
                  <c:v>525.801507715095</c:v>
                </c:pt>
                <c:pt idx="350">
                  <c:v>527.60031460521736</c:v>
                </c:pt>
                <c:pt idx="351">
                  <c:v>529.39218193606996</c:v>
                </c:pt>
                <c:pt idx="352">
                  <c:v>531.17702703438033</c:v>
                </c:pt>
                <c:pt idx="353">
                  <c:v>532.95476867671971</c:v>
                </c:pt>
                <c:pt idx="354">
                  <c:v>534.72532712498776</c:v>
                </c:pt>
                <c:pt idx="355">
                  <c:v>536.48862415923736</c:v>
                </c:pt>
                <c:pt idx="356">
                  <c:v>538.24458310796092</c:v>
                </c:pt>
                <c:pt idx="357">
                  <c:v>539.9931288759517</c:v>
                </c:pt>
                <c:pt idx="358">
                  <c:v>541.73418796984538</c:v>
                </c:pt>
                <c:pt idx="359">
                  <c:v>543.4676885214401</c:v>
                </c:pt>
                <c:pt idx="360">
                  <c:v>545.1935603088881</c:v>
                </c:pt>
                <c:pt idx="361">
                  <c:v>546.91173477584448</c:v>
                </c:pt>
                <c:pt idx="362">
                  <c:v>548.62214504865563</c:v>
                </c:pt>
                <c:pt idx="363">
                  <c:v>550.32472595166348</c:v>
                </c:pt>
                <c:pt idx="364">
                  <c:v>552.01941402069906</c:v>
                </c:pt>
                <c:pt idx="365">
                  <c:v>553.70614751483379</c:v>
                </c:pt>
                <c:pt idx="366">
                  <c:v>555.38486642645466</c:v>
                </c:pt>
                <c:pt idx="367">
                  <c:v>557.0555124897262</c:v>
                </c:pt>
                <c:pt idx="368">
                  <c:v>558.71802918749847</c:v>
                </c:pt>
                <c:pt idx="369">
                  <c:v>560.37236175671899</c:v>
                </c:pt>
                <c:pt idx="370">
                  <c:v>562.01845719240316</c:v>
                </c:pt>
                <c:pt idx="371">
                  <c:v>563.6562642502173</c:v>
                </c:pt>
                <c:pt idx="372">
                  <c:v>565.28573344772383</c:v>
                </c:pt>
                <c:pt idx="373">
                  <c:v>566.90681706433952</c:v>
                </c:pt>
                <c:pt idx="374">
                  <c:v>568.51946914005362</c:v>
                </c:pt>
                <c:pt idx="375">
                  <c:v>570.12364547295226</c:v>
                </c:pt>
                <c:pt idx="376">
                  <c:v>571.71930361559475</c:v>
                </c:pt>
                <c:pt idx="377">
                  <c:v>573.30640287028461</c:v>
                </c:pt>
                <c:pt idx="378">
                  <c:v>574.8849042832785</c:v>
                </c:pt>
                <c:pt idx="379">
                  <c:v>576.45477063797398</c:v>
                </c:pt>
                <c:pt idx="380">
                  <c:v>578.01596644711663</c:v>
                </c:pt>
                <c:pt idx="381">
                  <c:v>579.56845794406649</c:v>
                </c:pt>
                <c:pt idx="382">
                  <c:v>581.11221307316146</c:v>
                </c:pt>
                <c:pt idx="383">
                  <c:v>582.64720147921537</c:v>
                </c:pt>
                <c:pt idx="384">
                  <c:v>584.17339449618862</c:v>
                </c:pt>
                <c:pt idx="385">
                  <c:v>585.69076513506548</c:v>
                </c:pt>
                <c:pt idx="386">
                  <c:v>587.1992880709754</c:v>
                </c:pt>
                <c:pt idx="387">
                  <c:v>588.69893962959054</c:v>
                </c:pt>
                <c:pt idx="388">
                  <c:v>590.18969777283542</c:v>
                </c:pt>
                <c:pt idx="389">
                  <c:v>591.6715420839397</c:v>
                </c:pt>
                <c:pt idx="390">
                  <c:v>593.14445375186824</c:v>
                </c:pt>
                <c:pt idx="391">
                  <c:v>594.60841555515856</c:v>
                </c:pt>
                <c:pt idx="392">
                  <c:v>596.06341184519761</c:v>
                </c:pt>
                <c:pt idx="393">
                  <c:v>597.50942852896776</c:v>
                </c:pt>
                <c:pt idx="394">
                  <c:v>598.946453051292</c:v>
                </c:pt>
                <c:pt idx="395">
                  <c:v>600.37447437660683</c:v>
                </c:pt>
                <c:pt idx="396">
                  <c:v>601.79348297029151</c:v>
                </c:pt>
                <c:pt idx="397">
                  <c:v>603.20347077958195</c:v>
                </c:pt>
                <c:pt idx="398">
                  <c:v>604.60443121409514</c:v>
                </c:pt>
                <c:pt idx="399">
                  <c:v>605.99635912599172</c:v>
                </c:pt>
                <c:pt idx="400">
                  <c:v>607.37925078980209</c:v>
                </c:pt>
                <c:pt idx="401">
                  <c:v>608.75310388194089</c:v>
                </c:pt>
                <c:pt idx="402">
                  <c:v>610.11791745993571</c:v>
                </c:pt>
                <c:pt idx="403">
                  <c:v>611.47369194139242</c:v>
                </c:pt>
                <c:pt idx="404">
                  <c:v>612.8204290827216</c:v>
                </c:pt>
                <c:pt idx="405">
                  <c:v>614.15813195764883</c:v>
                </c:pt>
                <c:pt idx="406">
                  <c:v>615.48680493553036</c:v>
                </c:pt>
                <c:pt idx="407">
                  <c:v>616.80645365949613</c:v>
                </c:pt>
                <c:pt idx="408">
                  <c:v>618.11708502444117</c:v>
                </c:pt>
                <c:pt idx="409">
                  <c:v>619.41870715488574</c:v>
                </c:pt>
                <c:pt idx="410">
                  <c:v>620.71132938272353</c:v>
                </c:pt>
                <c:pt idx="411">
                  <c:v>621.99496222487744</c:v>
                </c:pt>
                <c:pt idx="412">
                  <c:v>623.26961736088185</c:v>
                </c:pt>
                <c:pt idx="413">
                  <c:v>624.53530761040861</c:v>
                </c:pt>
                <c:pt idx="414">
                  <c:v>625.79204691075427</c:v>
                </c:pt>
                <c:pt idx="415">
                  <c:v>627.03985029430658</c:v>
                </c:pt>
                <c:pt idx="416">
                  <c:v>628.27873386600459</c:v>
                </c:pt>
                <c:pt idx="417">
                  <c:v>629.50871478080944</c:v>
                </c:pt>
                <c:pt idx="418">
                  <c:v>630.72981122120052</c:v>
                </c:pt>
                <c:pt idx="419">
                  <c:v>631.9420423747116</c:v>
                </c:pt>
                <c:pt idx="420">
                  <c:v>633.14542841152104</c:v>
                </c:pt>
                <c:pt idx="421">
                  <c:v>634.33999046210943</c:v>
                </c:pt>
                <c:pt idx="422">
                  <c:v>635.52575059499748</c:v>
                </c:pt>
                <c:pt idx="423">
                  <c:v>636.70273179457695</c:v>
                </c:pt>
                <c:pt idx="424">
                  <c:v>637.87095793904643</c:v>
                </c:pt>
                <c:pt idx="425">
                  <c:v>639.03045377846342</c:v>
                </c:pt>
                <c:pt idx="426">
                  <c:v>640.18124491292281</c:v>
                </c:pt>
                <c:pt idx="427">
                  <c:v>641.32335777087383</c:v>
                </c:pt>
                <c:pt idx="428">
                  <c:v>642.45681958758337</c:v>
                </c:pt>
                <c:pt idx="429">
                  <c:v>643.58165838375692</c:v>
                </c:pt>
                <c:pt idx="430">
                  <c:v>644.69790294432494</c:v>
                </c:pt>
                <c:pt idx="431">
                  <c:v>645.80558279740364</c:v>
                </c:pt>
                <c:pt idx="432">
                  <c:v>646.9047281934379</c:v>
                </c:pt>
                <c:pt idx="433">
                  <c:v>647.99537008453467</c:v>
                </c:pt>
                <c:pt idx="434">
                  <c:v>649.0775401039931</c:v>
                </c:pt>
                <c:pt idx="435">
                  <c:v>650.15127054603886</c:v>
                </c:pt>
                <c:pt idx="436">
                  <c:v>651.21659434576884</c:v>
                </c:pt>
                <c:pt idx="437">
                  <c:v>652.27354505931214</c:v>
                </c:pt>
                <c:pt idx="438">
                  <c:v>653.32215684421249</c:v>
                </c:pt>
                <c:pt idx="439">
                  <c:v>654.36246444003871</c:v>
                </c:pt>
                <c:pt idx="440">
                  <c:v>655.3945031492259</c:v>
                </c:pt>
                <c:pt idx="441">
                  <c:v>656.41830881815406</c:v>
                </c:pt>
                <c:pt idx="442">
                  <c:v>657.43391781846628</c:v>
                </c:pt>
                <c:pt idx="443">
                  <c:v>658.4413670286317</c:v>
                </c:pt>
                <c:pt idx="444">
                  <c:v>659.44069381575616</c:v>
                </c:pt>
                <c:pt idx="445">
                  <c:v>660.43193601764335</c:v>
                </c:pt>
                <c:pt idx="446">
                  <c:v>661.41513192510979</c:v>
                </c:pt>
                <c:pt idx="447">
                  <c:v>662.39032026455595</c:v>
                </c:pt>
                <c:pt idx="448">
                  <c:v>663.35754018079535</c:v>
                </c:pt>
                <c:pt idx="449">
                  <c:v>664.31683122014476</c:v>
                </c:pt>
                <c:pt idx="450">
                  <c:v>665.26823331377523</c:v>
                </c:pt>
                <c:pt idx="451">
                  <c:v>666.21178676132752</c:v>
                </c:pt>
                <c:pt idx="452">
                  <c:v>667.14753221479134</c:v>
                </c:pt>
                <c:pt idx="453">
                  <c:v>668.07551066265034</c:v>
                </c:pt>
                <c:pt idx="454">
                  <c:v>668.99576341429292</c:v>
                </c:pt>
                <c:pt idx="455">
                  <c:v>669.90833208468996</c:v>
                </c:pt>
                <c:pt idx="456">
                  <c:v>670.81325857933894</c:v>
                </c:pt>
                <c:pt idx="457">
                  <c:v>671.71058507947475</c:v>
                </c:pt>
                <c:pt idx="458">
                  <c:v>672.60035402754784</c:v>
                </c:pt>
                <c:pt idx="459">
                  <c:v>673.48260811296768</c:v>
                </c:pt>
                <c:pt idx="460">
                  <c:v>674.35739025811256</c:v>
                </c:pt>
                <c:pt idx="461">
                  <c:v>675.22474360460387</c:v>
                </c:pt>
                <c:pt idx="462">
                  <c:v>676.08471149984496</c:v>
                </c:pt>
                <c:pt idx="463">
                  <c:v>676.9373374838226</c:v>
                </c:pt>
                <c:pt idx="464">
                  <c:v>677.78266527617052</c:v>
                </c:pt>
                <c:pt idx="465">
                  <c:v>678.62073876349314</c:v>
                </c:pt>
                <c:pt idx="466">
                  <c:v>679.45160198694862</c:v>
                </c:pt>
                <c:pt idx="467">
                  <c:v>680.27529913008902</c:v>
                </c:pt>
                <c:pt idx="468">
                  <c:v>681.09187450695629</c:v>
                </c:pt>
                <c:pt idx="469">
                  <c:v>681.90137255043192</c:v>
                </c:pt>
                <c:pt idx="470">
                  <c:v>682.70383780083841</c:v>
                </c:pt>
                <c:pt idx="471">
                  <c:v>683.49931489479047</c:v>
                </c:pt>
                <c:pt idx="472">
                  <c:v>684.28784855429399</c:v>
                </c:pt>
                <c:pt idx="473">
                  <c:v>685.06948357609019</c:v>
                </c:pt>
                <c:pt idx="474">
                  <c:v>685.84426482124286</c:v>
                </c:pt>
                <c:pt idx="475">
                  <c:v>686.61223720496594</c:v>
                </c:pt>
                <c:pt idx="476">
                  <c:v>687.37344568668982</c:v>
                </c:pt>
                <c:pt idx="477">
                  <c:v>688.12793526036228</c:v>
                </c:pt>
                <c:pt idx="478">
                  <c:v>688.875750944983</c:v>
                </c:pt>
                <c:pt idx="479">
                  <c:v>689.61693777536823</c:v>
                </c:pt>
                <c:pt idx="480">
                  <c:v>690.35154079314248</c:v>
                </c:pt>
                <c:pt idx="481">
                  <c:v>691.07960503795562</c:v>
                </c:pt>
                <c:pt idx="482">
                  <c:v>691.80117553892103</c:v>
                </c:pt>
                <c:pt idx="483">
                  <c:v>692.51629730627349</c:v>
                </c:pt>
                <c:pt idx="484">
                  <c:v>693.22501532324259</c:v>
                </c:pt>
                <c:pt idx="485">
                  <c:v>693.9273745381397</c:v>
                </c:pt>
                <c:pt idx="486">
                  <c:v>694.62341985665466</c:v>
                </c:pt>
                <c:pt idx="487">
                  <c:v>695.31319613436006</c:v>
                </c:pt>
                <c:pt idx="488">
                  <c:v>695.99674816941945</c:v>
                </c:pt>
                <c:pt idx="489">
                  <c:v>696.67412069549664</c:v>
                </c:pt>
                <c:pt idx="490">
                  <c:v>697.34535837486351</c:v>
                </c:pt>
                <c:pt idx="491">
                  <c:v>698.0105057917018</c:v>
                </c:pt>
                <c:pt idx="492">
                  <c:v>698.66960744559799</c:v>
                </c:pt>
                <c:pt idx="493">
                  <c:v>699.32270774522647</c:v>
                </c:pt>
                <c:pt idx="494">
                  <c:v>699.96985100221832</c:v>
                </c:pt>
                <c:pt idx="495">
                  <c:v>700.61108142521323</c:v>
                </c:pt>
                <c:pt idx="496">
                  <c:v>701.24644311409088</c:v>
                </c:pt>
                <c:pt idx="497">
                  <c:v>701.8759800543786</c:v>
                </c:pt>
                <c:pt idx="498">
                  <c:v>702.49973611183293</c:v>
                </c:pt>
                <c:pt idx="499">
                  <c:v>703.11775502719127</c:v>
                </c:pt>
                <c:pt idx="500">
                  <c:v>703.73008041109108</c:v>
                </c:pt>
                <c:pt idx="501">
                  <c:v>704.33675573915366</c:v>
                </c:pt>
                <c:pt idx="502">
                  <c:v>704.93782434722846</c:v>
                </c:pt>
                <c:pt idx="503">
                  <c:v>705.53332942679663</c:v>
                </c:pt>
                <c:pt idx="504">
                  <c:v>706.12331402052928</c:v>
                </c:pt>
                <c:pt idx="505">
                  <c:v>706.70782101799864</c:v>
                </c:pt>
                <c:pt idx="506">
                  <c:v>707.28689315153781</c:v>
                </c:pt>
                <c:pt idx="507">
                  <c:v>707.86057299224808</c:v>
                </c:pt>
                <c:pt idx="508">
                  <c:v>708.42890294614904</c:v>
                </c:pt>
                <c:pt idx="509">
                  <c:v>708.99192525046954</c:v>
                </c:pt>
                <c:pt idx="510">
                  <c:v>709.5496819700769</c:v>
                </c:pt>
                <c:pt idx="511">
                  <c:v>710.10221499404088</c:v>
                </c:pt>
                <c:pt idx="512">
                  <c:v>710.64956603232986</c:v>
                </c:pt>
                <c:pt idx="513">
                  <c:v>711.19177661263689</c:v>
                </c:pt>
                <c:pt idx="514">
                  <c:v>711.72888807733182</c:v>
                </c:pt>
                <c:pt idx="515">
                  <c:v>711.72888807733182</c:v>
                </c:pt>
                <c:pt idx="516">
                  <c:v>711.72888807733182</c:v>
                </c:pt>
                <c:pt idx="517">
                  <c:v>711.72888807733182</c:v>
                </c:pt>
                <c:pt idx="518">
                  <c:v>711.72888807733182</c:v>
                </c:pt>
                <c:pt idx="519">
                  <c:v>711.72888807733182</c:v>
                </c:pt>
                <c:pt idx="520">
                  <c:v>711.72888807733182</c:v>
                </c:pt>
                <c:pt idx="521">
                  <c:v>711.72888807733182</c:v>
                </c:pt>
                <c:pt idx="522">
                  <c:v>711.72888807733182</c:v>
                </c:pt>
                <c:pt idx="523">
                  <c:v>711.72888807733182</c:v>
                </c:pt>
                <c:pt idx="524">
                  <c:v>711.72888807733182</c:v>
                </c:pt>
                <c:pt idx="525">
                  <c:v>711.72888807733182</c:v>
                </c:pt>
                <c:pt idx="526">
                  <c:v>711.72888807733182</c:v>
                </c:pt>
                <c:pt idx="527">
                  <c:v>711.72888807733182</c:v>
                </c:pt>
                <c:pt idx="528">
                  <c:v>711.72888807733182</c:v>
                </c:pt>
                <c:pt idx="529">
                  <c:v>711.72888807733182</c:v>
                </c:pt>
                <c:pt idx="530">
                  <c:v>711.72888807733182</c:v>
                </c:pt>
                <c:pt idx="531">
                  <c:v>711.72888807733182</c:v>
                </c:pt>
                <c:pt idx="532">
                  <c:v>711.72888807733182</c:v>
                </c:pt>
                <c:pt idx="533">
                  <c:v>711.72888807733182</c:v>
                </c:pt>
                <c:pt idx="534">
                  <c:v>711.72888807733182</c:v>
                </c:pt>
                <c:pt idx="535">
                  <c:v>711.72888807733182</c:v>
                </c:pt>
                <c:pt idx="536">
                  <c:v>711.72888807733182</c:v>
                </c:pt>
                <c:pt idx="537">
                  <c:v>711.72888807733182</c:v>
                </c:pt>
                <c:pt idx="538">
                  <c:v>711.72888807733182</c:v>
                </c:pt>
                <c:pt idx="539">
                  <c:v>711.72888807733182</c:v>
                </c:pt>
                <c:pt idx="540">
                  <c:v>711.72888807733182</c:v>
                </c:pt>
                <c:pt idx="541">
                  <c:v>711.72888807733182</c:v>
                </c:pt>
                <c:pt idx="542">
                  <c:v>711.72888807733182</c:v>
                </c:pt>
                <c:pt idx="543">
                  <c:v>711.72888807733182</c:v>
                </c:pt>
                <c:pt idx="544">
                  <c:v>711.72888807733182</c:v>
                </c:pt>
                <c:pt idx="545">
                  <c:v>711.72888807733182</c:v>
                </c:pt>
                <c:pt idx="546">
                  <c:v>711.72888807733182</c:v>
                </c:pt>
                <c:pt idx="547">
                  <c:v>711.72888807733182</c:v>
                </c:pt>
                <c:pt idx="548">
                  <c:v>711.72888807733182</c:v>
                </c:pt>
                <c:pt idx="549">
                  <c:v>711.72888807733182</c:v>
                </c:pt>
                <c:pt idx="550">
                  <c:v>711.72888807733182</c:v>
                </c:pt>
                <c:pt idx="551">
                  <c:v>711.72888807733182</c:v>
                </c:pt>
                <c:pt idx="552">
                  <c:v>711.72888807733182</c:v>
                </c:pt>
                <c:pt idx="553">
                  <c:v>711.72888807733182</c:v>
                </c:pt>
                <c:pt idx="554">
                  <c:v>711.72888807733182</c:v>
                </c:pt>
                <c:pt idx="555">
                  <c:v>711.72888807733182</c:v>
                </c:pt>
                <c:pt idx="556">
                  <c:v>711.72888807733182</c:v>
                </c:pt>
                <c:pt idx="557">
                  <c:v>711.72888807733182</c:v>
                </c:pt>
                <c:pt idx="558">
                  <c:v>711.72888807733182</c:v>
                </c:pt>
                <c:pt idx="559">
                  <c:v>711.72888807733182</c:v>
                </c:pt>
                <c:pt idx="560">
                  <c:v>711.72888807733182</c:v>
                </c:pt>
                <c:pt idx="561">
                  <c:v>711.72888807733182</c:v>
                </c:pt>
                <c:pt idx="562">
                  <c:v>711.72888807733182</c:v>
                </c:pt>
                <c:pt idx="563">
                  <c:v>711.72888807733182</c:v>
                </c:pt>
                <c:pt idx="564">
                  <c:v>711.72888807733182</c:v>
                </c:pt>
                <c:pt idx="565">
                  <c:v>711.72888807733182</c:v>
                </c:pt>
                <c:pt idx="566">
                  <c:v>711.72888807733182</c:v>
                </c:pt>
                <c:pt idx="567">
                  <c:v>711.72888807733182</c:v>
                </c:pt>
                <c:pt idx="568">
                  <c:v>711.72888807733182</c:v>
                </c:pt>
                <c:pt idx="569">
                  <c:v>711.72888807733182</c:v>
                </c:pt>
                <c:pt idx="570">
                  <c:v>711.72888807733182</c:v>
                </c:pt>
                <c:pt idx="571">
                  <c:v>711.72888807733182</c:v>
                </c:pt>
                <c:pt idx="572">
                  <c:v>711.72888807733182</c:v>
                </c:pt>
                <c:pt idx="573">
                  <c:v>711.72888807733182</c:v>
                </c:pt>
                <c:pt idx="574">
                  <c:v>711.72888807733182</c:v>
                </c:pt>
                <c:pt idx="575">
                  <c:v>711.72888807733182</c:v>
                </c:pt>
                <c:pt idx="576">
                  <c:v>711.72888807733182</c:v>
                </c:pt>
                <c:pt idx="577">
                  <c:v>711.72888807733182</c:v>
                </c:pt>
                <c:pt idx="578">
                  <c:v>711.72888807733182</c:v>
                </c:pt>
                <c:pt idx="579">
                  <c:v>711.72888807733182</c:v>
                </c:pt>
                <c:pt idx="580">
                  <c:v>711.72888807733182</c:v>
                </c:pt>
                <c:pt idx="581">
                  <c:v>711.72888807733182</c:v>
                </c:pt>
                <c:pt idx="582">
                  <c:v>711.72888807733182</c:v>
                </c:pt>
                <c:pt idx="583">
                  <c:v>711.72888807733182</c:v>
                </c:pt>
                <c:pt idx="584">
                  <c:v>711.72888807733182</c:v>
                </c:pt>
                <c:pt idx="585">
                  <c:v>711.72888807733182</c:v>
                </c:pt>
                <c:pt idx="586">
                  <c:v>711.72888807733182</c:v>
                </c:pt>
                <c:pt idx="587">
                  <c:v>711.72888807733182</c:v>
                </c:pt>
                <c:pt idx="588">
                  <c:v>711.72888807733182</c:v>
                </c:pt>
                <c:pt idx="589">
                  <c:v>711.72888807733182</c:v>
                </c:pt>
                <c:pt idx="590">
                  <c:v>711.72888807733182</c:v>
                </c:pt>
                <c:pt idx="591">
                  <c:v>711.72888807733182</c:v>
                </c:pt>
                <c:pt idx="592">
                  <c:v>711.72888807733182</c:v>
                </c:pt>
                <c:pt idx="593">
                  <c:v>711.72888807733182</c:v>
                </c:pt>
                <c:pt idx="594">
                  <c:v>711.72888807733182</c:v>
                </c:pt>
                <c:pt idx="595">
                  <c:v>711.72888807733182</c:v>
                </c:pt>
                <c:pt idx="596">
                  <c:v>711.72888807733182</c:v>
                </c:pt>
                <c:pt idx="597">
                  <c:v>711.72888807733182</c:v>
                </c:pt>
                <c:pt idx="598">
                  <c:v>711.72888807733182</c:v>
                </c:pt>
                <c:pt idx="599">
                  <c:v>711.72888807733182</c:v>
                </c:pt>
                <c:pt idx="600">
                  <c:v>711.72888807733182</c:v>
                </c:pt>
                <c:pt idx="601">
                  <c:v>711.72888807733182</c:v>
                </c:pt>
                <c:pt idx="602">
                  <c:v>711.72888807733182</c:v>
                </c:pt>
                <c:pt idx="603">
                  <c:v>711.72888807733182</c:v>
                </c:pt>
                <c:pt idx="604">
                  <c:v>711.72888807733182</c:v>
                </c:pt>
                <c:pt idx="605">
                  <c:v>711.72888807733182</c:v>
                </c:pt>
                <c:pt idx="606">
                  <c:v>711.72888807733182</c:v>
                </c:pt>
                <c:pt idx="607">
                  <c:v>711.72888807733182</c:v>
                </c:pt>
                <c:pt idx="608">
                  <c:v>711.72888807733182</c:v>
                </c:pt>
                <c:pt idx="609">
                  <c:v>711.72888807733182</c:v>
                </c:pt>
                <c:pt idx="610">
                  <c:v>711.72888807733182</c:v>
                </c:pt>
                <c:pt idx="611">
                  <c:v>711.72888807733182</c:v>
                </c:pt>
                <c:pt idx="612">
                  <c:v>711.72888807733182</c:v>
                </c:pt>
                <c:pt idx="613">
                  <c:v>711.72888807733182</c:v>
                </c:pt>
                <c:pt idx="614">
                  <c:v>711.72888807733182</c:v>
                </c:pt>
                <c:pt idx="615">
                  <c:v>711.72888807733182</c:v>
                </c:pt>
                <c:pt idx="616">
                  <c:v>711.72888807733182</c:v>
                </c:pt>
                <c:pt idx="617">
                  <c:v>711.72888807733182</c:v>
                </c:pt>
                <c:pt idx="618">
                  <c:v>711.72888807733182</c:v>
                </c:pt>
                <c:pt idx="619">
                  <c:v>711.72888807733182</c:v>
                </c:pt>
                <c:pt idx="620">
                  <c:v>711.72888807733182</c:v>
                </c:pt>
                <c:pt idx="621">
                  <c:v>711.72888807733182</c:v>
                </c:pt>
                <c:pt idx="622">
                  <c:v>711.72888807733182</c:v>
                </c:pt>
                <c:pt idx="623">
                  <c:v>711.72888807733182</c:v>
                </c:pt>
                <c:pt idx="624">
                  <c:v>711.72888807733182</c:v>
                </c:pt>
                <c:pt idx="625">
                  <c:v>711.72888807733182</c:v>
                </c:pt>
                <c:pt idx="626">
                  <c:v>711.72888807733182</c:v>
                </c:pt>
                <c:pt idx="627">
                  <c:v>711.72888807733182</c:v>
                </c:pt>
                <c:pt idx="628">
                  <c:v>711.72888807733182</c:v>
                </c:pt>
                <c:pt idx="629">
                  <c:v>711.72888807733182</c:v>
                </c:pt>
                <c:pt idx="630">
                  <c:v>711.72888807733182</c:v>
                </c:pt>
                <c:pt idx="631">
                  <c:v>711.72888807733182</c:v>
                </c:pt>
                <c:pt idx="632">
                  <c:v>711.72888807733182</c:v>
                </c:pt>
                <c:pt idx="633">
                  <c:v>711.72888807733182</c:v>
                </c:pt>
                <c:pt idx="634">
                  <c:v>711.72888807733182</c:v>
                </c:pt>
                <c:pt idx="635">
                  <c:v>711.72888807733182</c:v>
                </c:pt>
                <c:pt idx="636">
                  <c:v>711.72888807733182</c:v>
                </c:pt>
                <c:pt idx="637">
                  <c:v>711.72888807733182</c:v>
                </c:pt>
                <c:pt idx="638">
                  <c:v>711.72888807733182</c:v>
                </c:pt>
                <c:pt idx="639">
                  <c:v>711.72888807733182</c:v>
                </c:pt>
                <c:pt idx="640">
                  <c:v>711.72888807733182</c:v>
                </c:pt>
                <c:pt idx="641">
                  <c:v>711.72888807733182</c:v>
                </c:pt>
                <c:pt idx="642">
                  <c:v>711.72888807733182</c:v>
                </c:pt>
                <c:pt idx="643">
                  <c:v>711.72888807733182</c:v>
                </c:pt>
                <c:pt idx="644">
                  <c:v>711.72888807733182</c:v>
                </c:pt>
                <c:pt idx="645">
                  <c:v>711.72888807733182</c:v>
                </c:pt>
                <c:pt idx="646">
                  <c:v>711.72888807733182</c:v>
                </c:pt>
                <c:pt idx="647">
                  <c:v>711.72888807733182</c:v>
                </c:pt>
                <c:pt idx="648">
                  <c:v>711.72888807733182</c:v>
                </c:pt>
                <c:pt idx="649">
                  <c:v>711.72888807733182</c:v>
                </c:pt>
                <c:pt idx="650">
                  <c:v>711.72888807733182</c:v>
                </c:pt>
                <c:pt idx="651">
                  <c:v>711.72888807733182</c:v>
                </c:pt>
                <c:pt idx="652">
                  <c:v>711.72888807733182</c:v>
                </c:pt>
                <c:pt idx="653">
                  <c:v>711.72888807733182</c:v>
                </c:pt>
                <c:pt idx="654">
                  <c:v>711.72888807733182</c:v>
                </c:pt>
                <c:pt idx="655">
                  <c:v>711.72888807733182</c:v>
                </c:pt>
                <c:pt idx="656">
                  <c:v>711.72888807733182</c:v>
                </c:pt>
                <c:pt idx="657">
                  <c:v>711.72888807733182</c:v>
                </c:pt>
                <c:pt idx="658">
                  <c:v>711.72888807733182</c:v>
                </c:pt>
                <c:pt idx="659">
                  <c:v>711.72888807733182</c:v>
                </c:pt>
                <c:pt idx="660">
                  <c:v>711.72888807733182</c:v>
                </c:pt>
                <c:pt idx="661">
                  <c:v>711.72888807733182</c:v>
                </c:pt>
                <c:pt idx="662">
                  <c:v>711.72888807733182</c:v>
                </c:pt>
                <c:pt idx="663">
                  <c:v>711.72888807733182</c:v>
                </c:pt>
                <c:pt idx="664">
                  <c:v>711.72888807733182</c:v>
                </c:pt>
                <c:pt idx="665">
                  <c:v>711.72888807733182</c:v>
                </c:pt>
                <c:pt idx="666">
                  <c:v>711.72888807733182</c:v>
                </c:pt>
                <c:pt idx="667">
                  <c:v>711.72888807733182</c:v>
                </c:pt>
                <c:pt idx="668">
                  <c:v>711.72888807733182</c:v>
                </c:pt>
                <c:pt idx="669">
                  <c:v>711.72888807733182</c:v>
                </c:pt>
                <c:pt idx="670">
                  <c:v>711.72888807733182</c:v>
                </c:pt>
                <c:pt idx="671">
                  <c:v>711.72888807733182</c:v>
                </c:pt>
                <c:pt idx="672">
                  <c:v>711.72888807733182</c:v>
                </c:pt>
                <c:pt idx="673">
                  <c:v>711.72888807733182</c:v>
                </c:pt>
                <c:pt idx="674">
                  <c:v>711.72888807733182</c:v>
                </c:pt>
                <c:pt idx="675">
                  <c:v>711.72888807733182</c:v>
                </c:pt>
                <c:pt idx="676">
                  <c:v>711.72888807733182</c:v>
                </c:pt>
                <c:pt idx="677">
                  <c:v>711.72888807733182</c:v>
                </c:pt>
                <c:pt idx="678">
                  <c:v>711.72888807733182</c:v>
                </c:pt>
                <c:pt idx="679">
                  <c:v>711.72888807733182</c:v>
                </c:pt>
                <c:pt idx="680">
                  <c:v>711.72888807733182</c:v>
                </c:pt>
                <c:pt idx="681">
                  <c:v>711.72888807733182</c:v>
                </c:pt>
                <c:pt idx="682">
                  <c:v>711.72888807733182</c:v>
                </c:pt>
                <c:pt idx="683">
                  <c:v>711.72888807733182</c:v>
                </c:pt>
                <c:pt idx="684">
                  <c:v>711.72888807733182</c:v>
                </c:pt>
                <c:pt idx="685">
                  <c:v>711.72888807733182</c:v>
                </c:pt>
                <c:pt idx="686">
                  <c:v>711.72888807733182</c:v>
                </c:pt>
                <c:pt idx="687">
                  <c:v>711.72888807733182</c:v>
                </c:pt>
                <c:pt idx="688">
                  <c:v>711.72888807733182</c:v>
                </c:pt>
                <c:pt idx="689">
                  <c:v>711.72888807733182</c:v>
                </c:pt>
                <c:pt idx="690">
                  <c:v>711.72888807733182</c:v>
                </c:pt>
                <c:pt idx="691">
                  <c:v>711.72888807733182</c:v>
                </c:pt>
                <c:pt idx="692">
                  <c:v>711.72888807733182</c:v>
                </c:pt>
                <c:pt idx="693">
                  <c:v>711.72888807733182</c:v>
                </c:pt>
                <c:pt idx="694">
                  <c:v>711.72888807733182</c:v>
                </c:pt>
                <c:pt idx="695">
                  <c:v>711.72888807733182</c:v>
                </c:pt>
                <c:pt idx="696">
                  <c:v>711.72888807733182</c:v>
                </c:pt>
                <c:pt idx="697">
                  <c:v>711.72888807733182</c:v>
                </c:pt>
                <c:pt idx="698">
                  <c:v>711.72888807733182</c:v>
                </c:pt>
                <c:pt idx="699">
                  <c:v>711.72888807733182</c:v>
                </c:pt>
                <c:pt idx="700">
                  <c:v>711.72888807733182</c:v>
                </c:pt>
                <c:pt idx="701">
                  <c:v>711.72888807733182</c:v>
                </c:pt>
                <c:pt idx="702">
                  <c:v>711.72888807733182</c:v>
                </c:pt>
                <c:pt idx="703">
                  <c:v>711.72888807733182</c:v>
                </c:pt>
                <c:pt idx="704">
                  <c:v>711.72888807733182</c:v>
                </c:pt>
                <c:pt idx="705">
                  <c:v>711.72888807733182</c:v>
                </c:pt>
                <c:pt idx="706">
                  <c:v>711.72888807733182</c:v>
                </c:pt>
                <c:pt idx="707">
                  <c:v>711.72888807733182</c:v>
                </c:pt>
                <c:pt idx="708">
                  <c:v>711.72888807733182</c:v>
                </c:pt>
                <c:pt idx="709">
                  <c:v>711.72888807733182</c:v>
                </c:pt>
                <c:pt idx="710">
                  <c:v>711.72888807733182</c:v>
                </c:pt>
                <c:pt idx="711">
                  <c:v>711.72888807733182</c:v>
                </c:pt>
                <c:pt idx="712">
                  <c:v>711.72888807733182</c:v>
                </c:pt>
                <c:pt idx="713">
                  <c:v>711.72888807733182</c:v>
                </c:pt>
                <c:pt idx="714">
                  <c:v>711.72888807733182</c:v>
                </c:pt>
                <c:pt idx="715">
                  <c:v>711.72888807733182</c:v>
                </c:pt>
                <c:pt idx="716">
                  <c:v>711.72888807733182</c:v>
                </c:pt>
                <c:pt idx="717">
                  <c:v>711.72888807733182</c:v>
                </c:pt>
                <c:pt idx="718">
                  <c:v>711.72888807733182</c:v>
                </c:pt>
                <c:pt idx="719">
                  <c:v>711.72888807733182</c:v>
                </c:pt>
                <c:pt idx="720">
                  <c:v>711.72888807733182</c:v>
                </c:pt>
                <c:pt idx="721">
                  <c:v>711.72888807733182</c:v>
                </c:pt>
                <c:pt idx="722">
                  <c:v>711.72888807733182</c:v>
                </c:pt>
                <c:pt idx="723">
                  <c:v>711.72888807733182</c:v>
                </c:pt>
                <c:pt idx="724">
                  <c:v>711.72888807733182</c:v>
                </c:pt>
                <c:pt idx="725">
                  <c:v>711.72888807733182</c:v>
                </c:pt>
                <c:pt idx="726">
                  <c:v>711.72888807733182</c:v>
                </c:pt>
                <c:pt idx="727">
                  <c:v>711.72888807733182</c:v>
                </c:pt>
                <c:pt idx="728">
                  <c:v>711.72888807733182</c:v>
                </c:pt>
                <c:pt idx="729">
                  <c:v>711.72888807733182</c:v>
                </c:pt>
                <c:pt idx="730">
                  <c:v>711.72888807733182</c:v>
                </c:pt>
                <c:pt idx="731">
                  <c:v>711.72888807733182</c:v>
                </c:pt>
                <c:pt idx="732">
                  <c:v>711.72888807733182</c:v>
                </c:pt>
                <c:pt idx="733">
                  <c:v>711.72888807733182</c:v>
                </c:pt>
                <c:pt idx="734">
                  <c:v>711.72888807733182</c:v>
                </c:pt>
                <c:pt idx="735">
                  <c:v>711.72888807733182</c:v>
                </c:pt>
                <c:pt idx="736">
                  <c:v>711.72888807733182</c:v>
                </c:pt>
                <c:pt idx="737">
                  <c:v>711.72888807733182</c:v>
                </c:pt>
                <c:pt idx="738">
                  <c:v>711.72888807733182</c:v>
                </c:pt>
                <c:pt idx="739">
                  <c:v>711.72888807733182</c:v>
                </c:pt>
                <c:pt idx="740">
                  <c:v>711.72888807733182</c:v>
                </c:pt>
                <c:pt idx="741">
                  <c:v>711.72888807733182</c:v>
                </c:pt>
                <c:pt idx="742">
                  <c:v>711.72888807733182</c:v>
                </c:pt>
                <c:pt idx="743">
                  <c:v>711.72888807733182</c:v>
                </c:pt>
                <c:pt idx="744">
                  <c:v>711.72888807733182</c:v>
                </c:pt>
                <c:pt idx="745">
                  <c:v>711.72888807733182</c:v>
                </c:pt>
                <c:pt idx="746">
                  <c:v>711.72888807733182</c:v>
                </c:pt>
                <c:pt idx="747">
                  <c:v>711.72888807733182</c:v>
                </c:pt>
                <c:pt idx="748">
                  <c:v>711.72888807733182</c:v>
                </c:pt>
                <c:pt idx="749">
                  <c:v>711.72888807733182</c:v>
                </c:pt>
                <c:pt idx="750">
                  <c:v>711.72888807733182</c:v>
                </c:pt>
                <c:pt idx="751">
                  <c:v>711.72888807733182</c:v>
                </c:pt>
                <c:pt idx="752">
                  <c:v>711.72888807733182</c:v>
                </c:pt>
                <c:pt idx="753">
                  <c:v>711.72888807733182</c:v>
                </c:pt>
                <c:pt idx="754">
                  <c:v>711.72888807733182</c:v>
                </c:pt>
                <c:pt idx="755">
                  <c:v>711.72888807733182</c:v>
                </c:pt>
                <c:pt idx="756">
                  <c:v>711.72888807733182</c:v>
                </c:pt>
                <c:pt idx="757">
                  <c:v>711.72888807733182</c:v>
                </c:pt>
                <c:pt idx="758">
                  <c:v>711.72888807733182</c:v>
                </c:pt>
                <c:pt idx="759">
                  <c:v>711.72888807733182</c:v>
                </c:pt>
                <c:pt idx="760">
                  <c:v>711.72888807733182</c:v>
                </c:pt>
                <c:pt idx="761">
                  <c:v>711.72888807733182</c:v>
                </c:pt>
                <c:pt idx="762">
                  <c:v>711.72888807733182</c:v>
                </c:pt>
                <c:pt idx="763">
                  <c:v>711.72888807733182</c:v>
                </c:pt>
                <c:pt idx="764">
                  <c:v>711.72888807733182</c:v>
                </c:pt>
                <c:pt idx="765">
                  <c:v>711.72888807733182</c:v>
                </c:pt>
                <c:pt idx="766">
                  <c:v>711.72888807733182</c:v>
                </c:pt>
                <c:pt idx="767">
                  <c:v>711.72888807733182</c:v>
                </c:pt>
                <c:pt idx="768">
                  <c:v>711.72888807733182</c:v>
                </c:pt>
                <c:pt idx="769">
                  <c:v>711.72888807733182</c:v>
                </c:pt>
                <c:pt idx="770">
                  <c:v>711.72888807733182</c:v>
                </c:pt>
                <c:pt idx="771">
                  <c:v>711.72888807733182</c:v>
                </c:pt>
                <c:pt idx="772">
                  <c:v>711.72888807733182</c:v>
                </c:pt>
                <c:pt idx="773">
                  <c:v>711.72888807733182</c:v>
                </c:pt>
                <c:pt idx="774">
                  <c:v>711.72888807733182</c:v>
                </c:pt>
                <c:pt idx="775">
                  <c:v>711.72888807733182</c:v>
                </c:pt>
                <c:pt idx="776">
                  <c:v>711.72888807733182</c:v>
                </c:pt>
                <c:pt idx="777">
                  <c:v>711.72888807733182</c:v>
                </c:pt>
                <c:pt idx="778">
                  <c:v>711.72888807733182</c:v>
                </c:pt>
                <c:pt idx="779">
                  <c:v>711.72888807733182</c:v>
                </c:pt>
                <c:pt idx="780">
                  <c:v>711.72888807733182</c:v>
                </c:pt>
                <c:pt idx="781">
                  <c:v>711.72888807733182</c:v>
                </c:pt>
                <c:pt idx="782">
                  <c:v>711.72888807733182</c:v>
                </c:pt>
                <c:pt idx="783">
                  <c:v>711.72888807733182</c:v>
                </c:pt>
                <c:pt idx="784">
                  <c:v>711.72888807733182</c:v>
                </c:pt>
                <c:pt idx="785">
                  <c:v>711.72888807733182</c:v>
                </c:pt>
                <c:pt idx="786">
                  <c:v>711.72888807733182</c:v>
                </c:pt>
                <c:pt idx="787">
                  <c:v>711.72888807733182</c:v>
                </c:pt>
                <c:pt idx="788">
                  <c:v>711.72888807733182</c:v>
                </c:pt>
                <c:pt idx="789">
                  <c:v>711.72888807733182</c:v>
                </c:pt>
                <c:pt idx="790">
                  <c:v>711.72888807733182</c:v>
                </c:pt>
                <c:pt idx="791">
                  <c:v>711.72888807733182</c:v>
                </c:pt>
                <c:pt idx="792">
                  <c:v>711.72888807733182</c:v>
                </c:pt>
                <c:pt idx="793">
                  <c:v>711.72888807733182</c:v>
                </c:pt>
                <c:pt idx="794">
                  <c:v>711.72888807733182</c:v>
                </c:pt>
                <c:pt idx="795">
                  <c:v>711.72888807733182</c:v>
                </c:pt>
                <c:pt idx="796">
                  <c:v>711.72888807733182</c:v>
                </c:pt>
                <c:pt idx="797">
                  <c:v>711.72888807733182</c:v>
                </c:pt>
                <c:pt idx="798">
                  <c:v>711.72888807733182</c:v>
                </c:pt>
                <c:pt idx="799">
                  <c:v>711.72888807733182</c:v>
                </c:pt>
                <c:pt idx="800">
                  <c:v>711.72888807733182</c:v>
                </c:pt>
                <c:pt idx="801">
                  <c:v>711.72888807733182</c:v>
                </c:pt>
                <c:pt idx="802">
                  <c:v>711.72888807733182</c:v>
                </c:pt>
                <c:pt idx="803">
                  <c:v>711.72888807733182</c:v>
                </c:pt>
                <c:pt idx="804">
                  <c:v>711.72888807733182</c:v>
                </c:pt>
                <c:pt idx="805">
                  <c:v>711.72888807733182</c:v>
                </c:pt>
                <c:pt idx="806">
                  <c:v>711.72888807733182</c:v>
                </c:pt>
                <c:pt idx="807">
                  <c:v>711.72888807733182</c:v>
                </c:pt>
                <c:pt idx="808">
                  <c:v>711.72888807733182</c:v>
                </c:pt>
                <c:pt idx="809">
                  <c:v>711.72888807733182</c:v>
                </c:pt>
                <c:pt idx="810">
                  <c:v>711.72888807733182</c:v>
                </c:pt>
                <c:pt idx="811">
                  <c:v>711.72888807733182</c:v>
                </c:pt>
                <c:pt idx="812">
                  <c:v>711.72888807733182</c:v>
                </c:pt>
                <c:pt idx="813">
                  <c:v>711.72888807733182</c:v>
                </c:pt>
                <c:pt idx="814">
                  <c:v>711.72888807733182</c:v>
                </c:pt>
                <c:pt idx="815">
                  <c:v>711.72888807733182</c:v>
                </c:pt>
                <c:pt idx="816">
                  <c:v>711.72888807733182</c:v>
                </c:pt>
                <c:pt idx="817">
                  <c:v>711.72888807733182</c:v>
                </c:pt>
                <c:pt idx="818">
                  <c:v>711.72888807733182</c:v>
                </c:pt>
                <c:pt idx="819">
                  <c:v>711.72888807733182</c:v>
                </c:pt>
                <c:pt idx="820">
                  <c:v>711.72888807733182</c:v>
                </c:pt>
                <c:pt idx="821">
                  <c:v>711.72888807733182</c:v>
                </c:pt>
                <c:pt idx="822">
                  <c:v>711.72888807733182</c:v>
                </c:pt>
                <c:pt idx="823">
                  <c:v>711.72888807733182</c:v>
                </c:pt>
                <c:pt idx="824">
                  <c:v>711.72888807733182</c:v>
                </c:pt>
                <c:pt idx="825">
                  <c:v>711.72888807733182</c:v>
                </c:pt>
                <c:pt idx="826">
                  <c:v>711.72888807733182</c:v>
                </c:pt>
                <c:pt idx="827">
                  <c:v>711.72888807733182</c:v>
                </c:pt>
                <c:pt idx="828">
                  <c:v>711.72888807733182</c:v>
                </c:pt>
                <c:pt idx="829">
                  <c:v>711.72888807733182</c:v>
                </c:pt>
                <c:pt idx="830">
                  <c:v>711.72888807733182</c:v>
                </c:pt>
                <c:pt idx="831">
                  <c:v>711.72888807733182</c:v>
                </c:pt>
                <c:pt idx="832">
                  <c:v>711.72888807733182</c:v>
                </c:pt>
                <c:pt idx="833">
                  <c:v>711.72888807733182</c:v>
                </c:pt>
                <c:pt idx="834">
                  <c:v>711.72888807733182</c:v>
                </c:pt>
                <c:pt idx="835">
                  <c:v>711.72888807733182</c:v>
                </c:pt>
                <c:pt idx="836">
                  <c:v>711.72888807733182</c:v>
                </c:pt>
                <c:pt idx="837">
                  <c:v>711.72888807733182</c:v>
                </c:pt>
                <c:pt idx="838">
                  <c:v>711.72888807733182</c:v>
                </c:pt>
                <c:pt idx="839">
                  <c:v>711.72888807733182</c:v>
                </c:pt>
                <c:pt idx="840">
                  <c:v>711.72888807733182</c:v>
                </c:pt>
                <c:pt idx="841">
                  <c:v>711.72888807733182</c:v>
                </c:pt>
                <c:pt idx="842">
                  <c:v>711.72888807733182</c:v>
                </c:pt>
                <c:pt idx="843">
                  <c:v>711.72888807733182</c:v>
                </c:pt>
                <c:pt idx="844">
                  <c:v>711.72888807733182</c:v>
                </c:pt>
                <c:pt idx="845">
                  <c:v>711.72888807733182</c:v>
                </c:pt>
                <c:pt idx="846">
                  <c:v>711.72888807733182</c:v>
                </c:pt>
                <c:pt idx="847">
                  <c:v>711.72888807733182</c:v>
                </c:pt>
                <c:pt idx="848">
                  <c:v>711.72888807733182</c:v>
                </c:pt>
                <c:pt idx="849">
                  <c:v>711.72888807733182</c:v>
                </c:pt>
                <c:pt idx="850">
                  <c:v>711.72888807733182</c:v>
                </c:pt>
                <c:pt idx="851">
                  <c:v>711.72888807733182</c:v>
                </c:pt>
                <c:pt idx="852">
                  <c:v>711.72888807733182</c:v>
                </c:pt>
                <c:pt idx="853">
                  <c:v>711.72888807733182</c:v>
                </c:pt>
                <c:pt idx="854">
                  <c:v>711.72888807733182</c:v>
                </c:pt>
                <c:pt idx="855">
                  <c:v>711.72888807733182</c:v>
                </c:pt>
                <c:pt idx="856">
                  <c:v>711.72888807733182</c:v>
                </c:pt>
                <c:pt idx="857">
                  <c:v>711.72888807733182</c:v>
                </c:pt>
                <c:pt idx="858">
                  <c:v>711.72888807733182</c:v>
                </c:pt>
                <c:pt idx="859">
                  <c:v>711.72888807733182</c:v>
                </c:pt>
                <c:pt idx="860">
                  <c:v>711.72888807733182</c:v>
                </c:pt>
                <c:pt idx="861">
                  <c:v>711.72888807733182</c:v>
                </c:pt>
                <c:pt idx="862">
                  <c:v>711.72888807733182</c:v>
                </c:pt>
                <c:pt idx="863">
                  <c:v>711.72888807733182</c:v>
                </c:pt>
                <c:pt idx="864">
                  <c:v>711.72888807733182</c:v>
                </c:pt>
                <c:pt idx="865">
                  <c:v>711.72888807733182</c:v>
                </c:pt>
                <c:pt idx="866">
                  <c:v>711.72888807733182</c:v>
                </c:pt>
                <c:pt idx="867">
                  <c:v>711.72888807733182</c:v>
                </c:pt>
                <c:pt idx="868">
                  <c:v>711.72888807733182</c:v>
                </c:pt>
                <c:pt idx="869">
                  <c:v>711.72888807733182</c:v>
                </c:pt>
                <c:pt idx="870">
                  <c:v>711.72888807733182</c:v>
                </c:pt>
                <c:pt idx="871">
                  <c:v>711.72888807733182</c:v>
                </c:pt>
                <c:pt idx="872">
                  <c:v>711.72888807733182</c:v>
                </c:pt>
                <c:pt idx="873">
                  <c:v>711.72888807733182</c:v>
                </c:pt>
                <c:pt idx="874">
                  <c:v>711.72888807733182</c:v>
                </c:pt>
                <c:pt idx="875">
                  <c:v>711.72888807733182</c:v>
                </c:pt>
                <c:pt idx="876">
                  <c:v>711.72888807733182</c:v>
                </c:pt>
                <c:pt idx="877">
                  <c:v>711.72888807733182</c:v>
                </c:pt>
                <c:pt idx="878">
                  <c:v>711.72888807733182</c:v>
                </c:pt>
                <c:pt idx="879">
                  <c:v>711.72888807733182</c:v>
                </c:pt>
                <c:pt idx="880">
                  <c:v>711.72888807733182</c:v>
                </c:pt>
                <c:pt idx="881">
                  <c:v>711.72888807733182</c:v>
                </c:pt>
                <c:pt idx="882">
                  <c:v>711.72888807733182</c:v>
                </c:pt>
                <c:pt idx="883">
                  <c:v>711.72888807733182</c:v>
                </c:pt>
                <c:pt idx="884">
                  <c:v>711.72888807733182</c:v>
                </c:pt>
                <c:pt idx="885">
                  <c:v>711.72888807733182</c:v>
                </c:pt>
                <c:pt idx="886">
                  <c:v>711.72888807733182</c:v>
                </c:pt>
                <c:pt idx="887">
                  <c:v>711.72888807733182</c:v>
                </c:pt>
                <c:pt idx="888">
                  <c:v>711.72888807733182</c:v>
                </c:pt>
                <c:pt idx="889">
                  <c:v>711.72888807733182</c:v>
                </c:pt>
                <c:pt idx="890">
                  <c:v>711.72888807733182</c:v>
                </c:pt>
                <c:pt idx="891">
                  <c:v>711.72888807733182</c:v>
                </c:pt>
                <c:pt idx="892">
                  <c:v>711.72888807733182</c:v>
                </c:pt>
                <c:pt idx="893">
                  <c:v>711.72888807733182</c:v>
                </c:pt>
                <c:pt idx="894">
                  <c:v>711.72888807733182</c:v>
                </c:pt>
                <c:pt idx="895">
                  <c:v>711.72888807733182</c:v>
                </c:pt>
                <c:pt idx="896">
                  <c:v>711.72888807733182</c:v>
                </c:pt>
                <c:pt idx="897">
                  <c:v>711.72888807733182</c:v>
                </c:pt>
                <c:pt idx="898">
                  <c:v>711.72888807733182</c:v>
                </c:pt>
                <c:pt idx="899">
                  <c:v>711.72888807733182</c:v>
                </c:pt>
                <c:pt idx="900">
                  <c:v>711.72888807733182</c:v>
                </c:pt>
                <c:pt idx="901">
                  <c:v>711.72888807733182</c:v>
                </c:pt>
                <c:pt idx="902">
                  <c:v>711.72888807733182</c:v>
                </c:pt>
                <c:pt idx="903">
                  <c:v>711.72888807733182</c:v>
                </c:pt>
                <c:pt idx="904">
                  <c:v>711.72888807733182</c:v>
                </c:pt>
                <c:pt idx="905">
                  <c:v>711.72888807733182</c:v>
                </c:pt>
                <c:pt idx="906">
                  <c:v>711.72888807733182</c:v>
                </c:pt>
                <c:pt idx="907">
                  <c:v>711.72888807733182</c:v>
                </c:pt>
                <c:pt idx="908">
                  <c:v>711.72888807733182</c:v>
                </c:pt>
                <c:pt idx="909">
                  <c:v>711.72888807733182</c:v>
                </c:pt>
                <c:pt idx="910">
                  <c:v>711.72888807733182</c:v>
                </c:pt>
                <c:pt idx="911">
                  <c:v>711.72888807733182</c:v>
                </c:pt>
                <c:pt idx="912">
                  <c:v>711.72888807733182</c:v>
                </c:pt>
                <c:pt idx="913">
                  <c:v>711.72888807733182</c:v>
                </c:pt>
                <c:pt idx="914">
                  <c:v>711.72888807733182</c:v>
                </c:pt>
                <c:pt idx="915">
                  <c:v>711.72888807733182</c:v>
                </c:pt>
                <c:pt idx="916">
                  <c:v>711.72888807733182</c:v>
                </c:pt>
                <c:pt idx="917">
                  <c:v>711.72888807733182</c:v>
                </c:pt>
                <c:pt idx="918">
                  <c:v>711.72888807733182</c:v>
                </c:pt>
                <c:pt idx="919">
                  <c:v>711.72888807733182</c:v>
                </c:pt>
                <c:pt idx="920">
                  <c:v>711.72888807733182</c:v>
                </c:pt>
                <c:pt idx="921">
                  <c:v>711.72888807733182</c:v>
                </c:pt>
                <c:pt idx="922">
                  <c:v>711.72888807733182</c:v>
                </c:pt>
                <c:pt idx="923">
                  <c:v>711.72888807733182</c:v>
                </c:pt>
                <c:pt idx="924">
                  <c:v>711.72888807733182</c:v>
                </c:pt>
                <c:pt idx="925">
                  <c:v>711.72888807733182</c:v>
                </c:pt>
                <c:pt idx="926">
                  <c:v>711.72888807733182</c:v>
                </c:pt>
                <c:pt idx="927">
                  <c:v>711.72888807733182</c:v>
                </c:pt>
                <c:pt idx="928">
                  <c:v>711.72888807733182</c:v>
                </c:pt>
                <c:pt idx="929">
                  <c:v>711.72888807733182</c:v>
                </c:pt>
                <c:pt idx="930">
                  <c:v>711.72888807733182</c:v>
                </c:pt>
                <c:pt idx="931">
                  <c:v>711.72888807733182</c:v>
                </c:pt>
                <c:pt idx="932">
                  <c:v>711.72888807733182</c:v>
                </c:pt>
                <c:pt idx="933">
                  <c:v>711.72888807733182</c:v>
                </c:pt>
                <c:pt idx="934">
                  <c:v>711.72888807733182</c:v>
                </c:pt>
                <c:pt idx="935">
                  <c:v>711.72888807733182</c:v>
                </c:pt>
                <c:pt idx="936">
                  <c:v>711.72888807733182</c:v>
                </c:pt>
                <c:pt idx="937">
                  <c:v>711.72888807733182</c:v>
                </c:pt>
                <c:pt idx="938">
                  <c:v>711.72888807733182</c:v>
                </c:pt>
                <c:pt idx="939">
                  <c:v>711.72888807733182</c:v>
                </c:pt>
                <c:pt idx="940">
                  <c:v>711.72888807733182</c:v>
                </c:pt>
                <c:pt idx="941">
                  <c:v>711.72888807733182</c:v>
                </c:pt>
                <c:pt idx="942">
                  <c:v>711.72888807733182</c:v>
                </c:pt>
                <c:pt idx="943">
                  <c:v>711.72888807733182</c:v>
                </c:pt>
                <c:pt idx="944">
                  <c:v>711.72888807733182</c:v>
                </c:pt>
                <c:pt idx="945">
                  <c:v>711.72888807733182</c:v>
                </c:pt>
                <c:pt idx="946">
                  <c:v>711.72888807733182</c:v>
                </c:pt>
                <c:pt idx="947">
                  <c:v>711.72888807733182</c:v>
                </c:pt>
                <c:pt idx="948">
                  <c:v>711.72888807733182</c:v>
                </c:pt>
                <c:pt idx="949">
                  <c:v>711.72888807733182</c:v>
                </c:pt>
                <c:pt idx="950">
                  <c:v>711.72888807733182</c:v>
                </c:pt>
                <c:pt idx="951">
                  <c:v>711.72888807733182</c:v>
                </c:pt>
                <c:pt idx="952">
                  <c:v>711.72888807733182</c:v>
                </c:pt>
                <c:pt idx="953">
                  <c:v>711.72888807733182</c:v>
                </c:pt>
                <c:pt idx="954">
                  <c:v>711.72888807733182</c:v>
                </c:pt>
                <c:pt idx="955">
                  <c:v>711.72888807733182</c:v>
                </c:pt>
                <c:pt idx="956">
                  <c:v>711.72888807733182</c:v>
                </c:pt>
                <c:pt idx="957">
                  <c:v>711.72888807733182</c:v>
                </c:pt>
                <c:pt idx="958">
                  <c:v>711.72888807733182</c:v>
                </c:pt>
                <c:pt idx="959">
                  <c:v>711.72888807733182</c:v>
                </c:pt>
                <c:pt idx="960">
                  <c:v>711.72888807733182</c:v>
                </c:pt>
                <c:pt idx="961">
                  <c:v>711.72888807733182</c:v>
                </c:pt>
                <c:pt idx="962">
                  <c:v>711.72888807733182</c:v>
                </c:pt>
                <c:pt idx="963">
                  <c:v>711.72888807733182</c:v>
                </c:pt>
                <c:pt idx="964">
                  <c:v>711.72888807733182</c:v>
                </c:pt>
                <c:pt idx="965">
                  <c:v>711.72888807733182</c:v>
                </c:pt>
                <c:pt idx="966">
                  <c:v>711.72888807733182</c:v>
                </c:pt>
                <c:pt idx="967">
                  <c:v>711.72888807733182</c:v>
                </c:pt>
                <c:pt idx="968">
                  <c:v>711.72888807733182</c:v>
                </c:pt>
                <c:pt idx="969">
                  <c:v>711.72888807733182</c:v>
                </c:pt>
                <c:pt idx="970">
                  <c:v>711.72888807733182</c:v>
                </c:pt>
                <c:pt idx="971">
                  <c:v>711.72888807733182</c:v>
                </c:pt>
                <c:pt idx="972">
                  <c:v>711.72888807733182</c:v>
                </c:pt>
                <c:pt idx="973">
                  <c:v>711.72888807733182</c:v>
                </c:pt>
                <c:pt idx="974">
                  <c:v>711.72888807733182</c:v>
                </c:pt>
                <c:pt idx="975">
                  <c:v>711.72888807733182</c:v>
                </c:pt>
                <c:pt idx="976">
                  <c:v>711.72888807733182</c:v>
                </c:pt>
                <c:pt idx="977">
                  <c:v>711.72888807733182</c:v>
                </c:pt>
                <c:pt idx="978">
                  <c:v>711.72888807733182</c:v>
                </c:pt>
                <c:pt idx="979">
                  <c:v>711.72888807733182</c:v>
                </c:pt>
                <c:pt idx="980">
                  <c:v>711.72888807733182</c:v>
                </c:pt>
                <c:pt idx="981">
                  <c:v>711.72888807733182</c:v>
                </c:pt>
                <c:pt idx="982">
                  <c:v>711.72888807733182</c:v>
                </c:pt>
                <c:pt idx="983">
                  <c:v>711.72888807733182</c:v>
                </c:pt>
                <c:pt idx="984">
                  <c:v>711.72888807733182</c:v>
                </c:pt>
                <c:pt idx="985">
                  <c:v>711.72888807733182</c:v>
                </c:pt>
                <c:pt idx="986">
                  <c:v>711.72888807733182</c:v>
                </c:pt>
                <c:pt idx="987">
                  <c:v>711.72888807733182</c:v>
                </c:pt>
                <c:pt idx="988">
                  <c:v>711.72888807733182</c:v>
                </c:pt>
                <c:pt idx="989">
                  <c:v>711.72888807733182</c:v>
                </c:pt>
                <c:pt idx="990">
                  <c:v>711.72888807733182</c:v>
                </c:pt>
                <c:pt idx="991">
                  <c:v>711.72888807733182</c:v>
                </c:pt>
                <c:pt idx="992">
                  <c:v>711.72888807733182</c:v>
                </c:pt>
                <c:pt idx="993">
                  <c:v>711.72888807733182</c:v>
                </c:pt>
                <c:pt idx="994">
                  <c:v>711.72888807733182</c:v>
                </c:pt>
                <c:pt idx="995">
                  <c:v>711.72888807733182</c:v>
                </c:pt>
                <c:pt idx="996">
                  <c:v>711.72888807733182</c:v>
                </c:pt>
                <c:pt idx="997">
                  <c:v>711.72888807733182</c:v>
                </c:pt>
                <c:pt idx="998">
                  <c:v>711.72888807733182</c:v>
                </c:pt>
                <c:pt idx="999">
                  <c:v>711.72888807733182</c:v>
                </c:pt>
                <c:pt idx="1000">
                  <c:v>711.72888807733182</c:v>
                </c:pt>
              </c:numCache>
            </c:numRef>
          </c:xVal>
          <c:yVal>
            <c:numRef>
              <c:f>Calculs!$AE$4:$AE$1004</c:f>
              <c:numCache>
                <c:formatCode>0</c:formatCode>
                <c:ptCount val="1001"/>
                <c:pt idx="0">
                  <c:v>497.16938386972515</c:v>
                </c:pt>
                <c:pt idx="1">
                  <c:v>498.89571863685381</c:v>
                </c:pt>
                <c:pt idx="2">
                  <c:v>500.62286602706746</c:v>
                </c:pt>
                <c:pt idx="3">
                  <c:v>502.35397500412506</c:v>
                </c:pt>
                <c:pt idx="4">
                  <c:v>504.0896126384792</c:v>
                </c:pt>
                <c:pt idx="5">
                  <c:v>505.82922692069394</c:v>
                </c:pt>
                <c:pt idx="6">
                  <c:v>507.57260713217528</c:v>
                </c:pt>
                <c:pt idx="7">
                  <c:v>509.31971309683456</c:v>
                </c:pt>
                <c:pt idx="8">
                  <c:v>511.0705047042224</c:v>
                </c:pt>
                <c:pt idx="9">
                  <c:v>512.82494191034959</c:v>
                </c:pt>
                <c:pt idx="10">
                  <c:v>514.58298473849538</c:v>
                </c:pt>
                <c:pt idx="11">
                  <c:v>516.34459328000275</c:v>
                </c:pt>
                <c:pt idx="12">
                  <c:v>518.109727695061</c:v>
                </c:pt>
                <c:pt idx="13">
                  <c:v>519.87834821347565</c:v>
                </c:pt>
                <c:pt idx="14">
                  <c:v>521.65041513542531</c:v>
                </c:pt>
                <c:pt idx="15">
                  <c:v>523.4258888322064</c:v>
                </c:pt>
                <c:pt idx="16">
                  <c:v>525.20472974696497</c:v>
                </c:pt>
                <c:pt idx="17">
                  <c:v>526.98689839541555</c:v>
                </c:pt>
                <c:pt idx="18">
                  <c:v>528.77235536654837</c:v>
                </c:pt>
                <c:pt idx="19">
                  <c:v>530.56106132332297</c:v>
                </c:pt>
                <c:pt idx="20">
                  <c:v>532.35297700335036</c:v>
                </c:pt>
                <c:pt idx="21">
                  <c:v>534.14806321956223</c:v>
                </c:pt>
                <c:pt idx="22">
                  <c:v>535.94628086086789</c:v>
                </c:pt>
                <c:pt idx="23">
                  <c:v>537.74759089279883</c:v>
                </c:pt>
                <c:pt idx="24">
                  <c:v>539.5519543581413</c:v>
                </c:pt>
                <c:pt idx="25">
                  <c:v>541.35933237755637</c:v>
                </c:pt>
                <c:pt idx="26">
                  <c:v>543.16968615018823</c:v>
                </c:pt>
                <c:pt idx="27">
                  <c:v>544.98297695425981</c:v>
                </c:pt>
                <c:pt idx="28">
                  <c:v>546.79916614765705</c:v>
                </c:pt>
                <c:pt idx="29">
                  <c:v>548.61821516850068</c:v>
                </c:pt>
                <c:pt idx="30">
                  <c:v>550.44008553570643</c:v>
                </c:pt>
                <c:pt idx="31">
                  <c:v>552.26473884953316</c:v>
                </c:pt>
                <c:pt idx="32">
                  <c:v>554.09213679211916</c:v>
                </c:pt>
                <c:pt idx="33">
                  <c:v>555.92224112800693</c:v>
                </c:pt>
                <c:pt idx="34">
                  <c:v>557.75501370465633</c:v>
                </c:pt>
                <c:pt idx="35">
                  <c:v>559.59041645294565</c:v>
                </c:pt>
                <c:pt idx="36">
                  <c:v>561.42841138766175</c:v>
                </c:pt>
                <c:pt idx="37">
                  <c:v>563.26896060797856</c:v>
                </c:pt>
                <c:pt idx="38">
                  <c:v>565.11202629792365</c:v>
                </c:pt>
                <c:pt idx="39">
                  <c:v>566.95757072683443</c:v>
                </c:pt>
                <c:pt idx="40">
                  <c:v>568.80555624980207</c:v>
                </c:pt>
                <c:pt idx="41">
                  <c:v>570.65594530810483</c:v>
                </c:pt>
                <c:pt idx="42">
                  <c:v>572.50870042963038</c:v>
                </c:pt>
                <c:pt idx="43">
                  <c:v>574.36378422928669</c:v>
                </c:pt>
                <c:pt idx="44">
                  <c:v>576.22115940940182</c:v>
                </c:pt>
                <c:pt idx="45">
                  <c:v>578.08078876011325</c:v>
                </c:pt>
                <c:pt idx="46">
                  <c:v>579.94263515974637</c:v>
                </c:pt>
                <c:pt idx="47">
                  <c:v>581.80666157518158</c:v>
                </c:pt>
                <c:pt idx="48">
                  <c:v>583.67283106221134</c:v>
                </c:pt>
                <c:pt idx="49">
                  <c:v>585.54110676588652</c:v>
                </c:pt>
                <c:pt idx="50">
                  <c:v>587.41145192085196</c:v>
                </c:pt>
                <c:pt idx="51">
                  <c:v>589.28382985167161</c:v>
                </c:pt>
                <c:pt idx="52">
                  <c:v>591.15820397314349</c:v>
                </c:pt>
                <c:pt idx="53">
                  <c:v>593.03453779060419</c:v>
                </c:pt>
                <c:pt idx="54">
                  <c:v>594.91279490022328</c:v>
                </c:pt>
                <c:pt idx="55">
                  <c:v>596.79293898928722</c:v>
                </c:pt>
                <c:pt idx="56">
                  <c:v>598.67493383647388</c:v>
                </c:pt>
                <c:pt idx="57">
                  <c:v>600.55874331211612</c:v>
                </c:pt>
                <c:pt idx="58">
                  <c:v>602.44433137845647</c:v>
                </c:pt>
                <c:pt idx="59">
                  <c:v>604.33166208989121</c:v>
                </c:pt>
                <c:pt idx="60">
                  <c:v>606.22069959320504</c:v>
                </c:pt>
                <c:pt idx="61">
                  <c:v>608.11140812779593</c:v>
                </c:pt>
                <c:pt idx="62">
                  <c:v>610.00375202589078</c:v>
                </c:pt>
                <c:pt idx="63">
                  <c:v>611.89768087486266</c:v>
                </c:pt>
                <c:pt idx="64">
                  <c:v>613.79311471546873</c:v>
                </c:pt>
                <c:pt idx="65">
                  <c:v>615.68995896065621</c:v>
                </c:pt>
                <c:pt idx="66">
                  <c:v>617.58811927899751</c:v>
                </c:pt>
                <c:pt idx="67">
                  <c:v>619.48748799290047</c:v>
                </c:pt>
                <c:pt idx="68">
                  <c:v>621.38793051129596</c:v>
                </c:pt>
                <c:pt idx="69">
                  <c:v>623.28927481555581</c:v>
                </c:pt>
                <c:pt idx="70">
                  <c:v>625.19130097568188</c:v>
                </c:pt>
                <c:pt idx="71">
                  <c:v>627.09376548942146</c:v>
                </c:pt>
                <c:pt idx="72">
                  <c:v>628.99642555996002</c:v>
                </c:pt>
                <c:pt idx="73">
                  <c:v>630.89903910368525</c:v>
                </c:pt>
                <c:pt idx="74">
                  <c:v>632.80136475756046</c:v>
                </c:pt>
                <c:pt idx="75">
                  <c:v>634.70316188611059</c:v>
                </c:pt>
                <c:pt idx="76">
                  <c:v>636.60419058802518</c:v>
                </c:pt>
                <c:pt idx="77">
                  <c:v>638.50421170238076</c:v>
                </c:pt>
                <c:pt idx="78">
                  <c:v>640.40298681448792</c:v>
                </c:pt>
                <c:pt idx="79">
                  <c:v>642.30027826136597</c:v>
                </c:pt>
                <c:pt idx="80">
                  <c:v>644.1958491368498</c:v>
                </c:pt>
                <c:pt idx="81">
                  <c:v>646.08949207993192</c:v>
                </c:pt>
                <c:pt idx="82">
                  <c:v>647.98105796915502</c:v>
                </c:pt>
                <c:pt idx="83">
                  <c:v>649.87042694992761</c:v>
                </c:pt>
                <c:pt idx="84">
                  <c:v>651.75747955317843</c:v>
                </c:pt>
                <c:pt idx="85">
                  <c:v>653.64209669501372</c:v>
                </c:pt>
                <c:pt idx="86">
                  <c:v>655.52415967629292</c:v>
                </c:pt>
                <c:pt idx="87">
                  <c:v>657.40355018212347</c:v>
                </c:pt>
                <c:pt idx="88">
                  <c:v>659.28015028127641</c:v>
                </c:pt>
                <c:pt idx="89">
                  <c:v>661.1538515192068</c:v>
                </c:pt>
                <c:pt idx="90">
                  <c:v>663.02456398013078</c:v>
                </c:pt>
                <c:pt idx="91">
                  <c:v>664.89220713015084</c:v>
                </c:pt>
                <c:pt idx="92">
                  <c:v>666.7567006911047</c:v>
                </c:pt>
                <c:pt idx="93">
                  <c:v>668.61796691311338</c:v>
                </c:pt>
                <c:pt idx="94">
                  <c:v>670.47593283928597</c:v>
                </c:pt>
                <c:pt idx="95">
                  <c:v>672.33052801527538</c:v>
                </c:pt>
                <c:pt idx="96">
                  <c:v>674.18168220664199</c:v>
                </c:pt>
                <c:pt idx="97">
                  <c:v>676.02933449238003</c:v>
                </c:pt>
                <c:pt idx="98">
                  <c:v>677.87344232687974</c:v>
                </c:pt>
                <c:pt idx="99">
                  <c:v>679.71397238116106</c:v>
                </c:pt>
                <c:pt idx="100">
                  <c:v>681.5508914158836</c:v>
                </c:pt>
                <c:pt idx="101">
                  <c:v>683.38416628063533</c:v>
                </c:pt>
                <c:pt idx="102">
                  <c:v>685.21376391321951</c:v>
                </c:pt>
                <c:pt idx="103">
                  <c:v>687.03965133894042</c:v>
                </c:pt>
                <c:pt idx="104">
                  <c:v>688.86179566988733</c:v>
                </c:pt>
                <c:pt idx="105">
                  <c:v>690.68016410421751</c:v>
                </c:pt>
                <c:pt idx="106">
                  <c:v>692.49472392543805</c:v>
                </c:pt>
                <c:pt idx="107">
                  <c:v>694.30544250168589</c:v>
                </c:pt>
                <c:pt idx="108">
                  <c:v>696.11228728500714</c:v>
                </c:pt>
                <c:pt idx="109">
                  <c:v>697.91523717679945</c:v>
                </c:pt>
                <c:pt idx="110">
                  <c:v>699.7142938537495</c:v>
                </c:pt>
                <c:pt idx="111">
                  <c:v>701.50947032298427</c:v>
                </c:pt>
                <c:pt idx="112">
                  <c:v>703.30077951737087</c:v>
                </c:pt>
                <c:pt idx="113">
                  <c:v>705.0882342960798</c:v>
                </c:pt>
                <c:pt idx="114">
                  <c:v>706.87184744514286</c:v>
                </c:pt>
                <c:pt idx="115">
                  <c:v>708.65163167800574</c:v>
                </c:pt>
                <c:pt idx="116">
                  <c:v>710.42759963607534</c:v>
                </c:pt>
                <c:pt idx="117">
                  <c:v>712.19976388926204</c:v>
                </c:pt>
                <c:pt idx="118">
                  <c:v>713.96813693651632</c:v>
                </c:pt>
                <c:pt idx="119">
                  <c:v>715.73273120636122</c:v>
                </c:pt>
                <c:pt idx="120">
                  <c:v>717.49355905741902</c:v>
                </c:pt>
                <c:pt idx="121">
                  <c:v>719.2506327789331</c:v>
                </c:pt>
                <c:pt idx="122">
                  <c:v>721.00396459128535</c:v>
                </c:pt>
                <c:pt idx="123">
                  <c:v>722.75356664650815</c:v>
                </c:pt>
                <c:pt idx="124">
                  <c:v>724.49945102879201</c:v>
                </c:pt>
                <c:pt idx="125">
                  <c:v>726.24162975498814</c:v>
                </c:pt>
                <c:pt idx="126">
                  <c:v>727.98011477510659</c:v>
                </c:pt>
                <c:pt idx="127">
                  <c:v>729.71491797280953</c:v>
                </c:pt>
                <c:pt idx="128">
                  <c:v>731.44605116590037</c:v>
                </c:pt>
                <c:pt idx="129">
                  <c:v>733.1735261068078</c:v>
                </c:pt>
                <c:pt idx="130">
                  <c:v>734.89735448306567</c:v>
                </c:pt>
                <c:pt idx="131">
                  <c:v>736.61754791778844</c:v>
                </c:pt>
                <c:pt idx="132">
                  <c:v>738.3341179701423</c:v>
                </c:pt>
                <c:pt idx="133">
                  <c:v>740.04707613581149</c:v>
                </c:pt>
                <c:pt idx="134">
                  <c:v>741.75643384746127</c:v>
                </c:pt>
                <c:pt idx="135">
                  <c:v>743.46220247519568</c:v>
                </c:pt>
                <c:pt idx="136">
                  <c:v>745.16439332701157</c:v>
                </c:pt>
                <c:pt idx="137">
                  <c:v>746.86301764924883</c:v>
                </c:pt>
                <c:pt idx="138">
                  <c:v>748.55808662703555</c:v>
                </c:pt>
                <c:pt idx="139">
                  <c:v>750.24961138473031</c:v>
                </c:pt>
                <c:pt idx="140">
                  <c:v>751.93760298635937</c:v>
                </c:pt>
                <c:pt idx="141">
                  <c:v>753.62207243605087</c:v>
                </c:pt>
                <c:pt idx="142">
                  <c:v>755.30303067846421</c:v>
                </c:pt>
                <c:pt idx="143">
                  <c:v>756.9804885992163</c:v>
                </c:pt>
                <c:pt idx="144">
                  <c:v>758.6544570253036</c:v>
                </c:pt>
                <c:pt idx="145">
                  <c:v>760.32494672552025</c:v>
                </c:pt>
                <c:pt idx="146">
                  <c:v>761.9919684108728</c:v>
                </c:pt>
                <c:pt idx="147">
                  <c:v>763.65553273499086</c:v>
                </c:pt>
                <c:pt idx="148">
                  <c:v>765.31565029453463</c:v>
                </c:pt>
                <c:pt idx="149">
                  <c:v>766.9723316295981</c:v>
                </c:pt>
                <c:pt idx="150">
                  <c:v>768.62558722410893</c:v>
                </c:pt>
                <c:pt idx="151">
                  <c:v>770.27542750622513</c:v>
                </c:pt>
                <c:pt idx="152">
                  <c:v>771.92186284872776</c:v>
                </c:pt>
                <c:pt idx="153">
                  <c:v>773.56490356941026</c:v>
                </c:pt>
                <c:pt idx="154">
                  <c:v>775.20455993146459</c:v>
                </c:pt>
                <c:pt idx="155">
                  <c:v>776.84084214386348</c:v>
                </c:pt>
                <c:pt idx="156">
                  <c:v>778.47376036173966</c:v>
                </c:pt>
                <c:pt idx="157">
                  <c:v>780.10332468676199</c:v>
                </c:pt>
                <c:pt idx="158">
                  <c:v>781.72954516750758</c:v>
                </c:pt>
                <c:pt idx="159">
                  <c:v>783.35243179983115</c:v>
                </c:pt>
                <c:pt idx="160">
                  <c:v>784.97199452723135</c:v>
                </c:pt>
                <c:pt idx="161">
                  <c:v>786.58824324121304</c:v>
                </c:pt>
                <c:pt idx="162">
                  <c:v>788.2011877816476</c:v>
                </c:pt>
                <c:pt idx="163">
                  <c:v>789.81083793712889</c:v>
                </c:pt>
                <c:pt idx="164">
                  <c:v>791.417203445327</c:v>
                </c:pt>
                <c:pt idx="165">
                  <c:v>793.02029399333867</c:v>
                </c:pt>
                <c:pt idx="166">
                  <c:v>794.62011921803446</c:v>
                </c:pt>
                <c:pt idx="167">
                  <c:v>796.21668870640315</c:v>
                </c:pt>
                <c:pt idx="168">
                  <c:v>797.81001199589298</c:v>
                </c:pt>
                <c:pt idx="169">
                  <c:v>799.40009857475036</c:v>
                </c:pt>
                <c:pt idx="170">
                  <c:v>800.98695788235523</c:v>
                </c:pt>
                <c:pt idx="171">
                  <c:v>802.57059930955359</c:v>
                </c:pt>
                <c:pt idx="172">
                  <c:v>804.15103219898754</c:v>
                </c:pt>
                <c:pt idx="173">
                  <c:v>805.7282658454219</c:v>
                </c:pt>
                <c:pt idx="174">
                  <c:v>807.3023094960688</c:v>
                </c:pt>
                <c:pt idx="175">
                  <c:v>808.8731723509087</c:v>
                </c:pt>
                <c:pt idx="176">
                  <c:v>810.44086356300943</c:v>
                </c:pt>
                <c:pt idx="177">
                  <c:v>812.00539223884175</c:v>
                </c:pt>
                <c:pt idx="178">
                  <c:v>813.56676743859316</c:v>
                </c:pt>
                <c:pt idx="179">
                  <c:v>815.12499817647802</c:v>
                </c:pt>
                <c:pt idx="180">
                  <c:v>816.68009342104597</c:v>
                </c:pt>
                <c:pt idx="181">
                  <c:v>818.23206209548709</c:v>
                </c:pt>
                <c:pt idx="182">
                  <c:v>819.78091307793477</c:v>
                </c:pt>
                <c:pt idx="183">
                  <c:v>821.32665520176624</c:v>
                </c:pt>
                <c:pt idx="184">
                  <c:v>822.86929725590016</c:v>
                </c:pt>
                <c:pt idx="185">
                  <c:v>824.40884798509182</c:v>
                </c:pt>
                <c:pt idx="186">
                  <c:v>825.94531609022613</c:v>
                </c:pt>
                <c:pt idx="187">
                  <c:v>827.47871022860784</c:v>
                </c:pt>
                <c:pt idx="188">
                  <c:v>829.00903901424977</c:v>
                </c:pt>
                <c:pt idx="189">
                  <c:v>830.53631101815802</c:v>
                </c:pt>
                <c:pt idx="190">
                  <c:v>832.0605347686153</c:v>
                </c:pt>
                <c:pt idx="191">
                  <c:v>833.58171875146195</c:v>
                </c:pt>
                <c:pt idx="192">
                  <c:v>835.09987141037402</c:v>
                </c:pt>
                <c:pt idx="193">
                  <c:v>836.61500114713988</c:v>
                </c:pt>
                <c:pt idx="194">
                  <c:v>838.12711632193384</c:v>
                </c:pt>
                <c:pt idx="195">
                  <c:v>839.63622525358812</c:v>
                </c:pt>
                <c:pt idx="196">
                  <c:v>841.14233621986205</c:v>
                </c:pt>
                <c:pt idx="197">
                  <c:v>842.64545745770943</c:v>
                </c:pt>
                <c:pt idx="198">
                  <c:v>844.14559716354347</c:v>
                </c:pt>
                <c:pt idx="199">
                  <c:v>845.64276349349961</c:v>
                </c:pt>
                <c:pt idx="200">
                  <c:v>847.13696456369655</c:v>
                </c:pt>
                <c:pt idx="201">
                  <c:v>861.91651145098501</c:v>
                </c:pt>
                <c:pt idx="202">
                  <c:v>876.40471072443597</c:v>
                </c:pt>
                <c:pt idx="203">
                  <c:v>890.60930823471767</c:v>
                </c:pt>
                <c:pt idx="204">
                  <c:v>904.53768176716221</c:v>
                </c:pt>
                <c:pt idx="205">
                  <c:v>918.19686378102733</c:v>
                </c:pt>
                <c:pt idx="206">
                  <c:v>931.59356239756562</c:v>
                </c:pt>
                <c:pt idx="207">
                  <c:v>944.73418079687815</c:v>
                </c:pt>
                <c:pt idx="208">
                  <c:v>957.62483516666873</c:v>
                </c:pt>
                <c:pt idx="209">
                  <c:v>970.27137133116059</c:v>
                </c:pt>
                <c:pt idx="210">
                  <c:v>982.67938017532163</c:v>
                </c:pt>
                <c:pt idx="211">
                  <c:v>994.85421196794755</c:v>
                </c:pt>
                <c:pt idx="212">
                  <c:v>1006.8009896768708</c:v>
                </c:pt>
                <c:pt idx="213">
                  <c:v>1018.5246213604394</c:v>
                </c:pt>
                <c:pt idx="214">
                  <c:v>1030.0298117112916</c:v>
                </c:pt>
                <c:pt idx="215">
                  <c:v>1041.3210728212212</c:v>
                </c:pt>
                <c:pt idx="216">
                  <c:v>1052.4027342294735</c:v>
                </c:pt>
                <c:pt idx="217">
                  <c:v>1063.2789523110446</c:v>
                </c:pt>
                <c:pt idx="218">
                  <c:v>1073.9537190563881</c:v>
                </c:pt>
                <c:pt idx="219">
                  <c:v>1084.4308702893049</c:v>
                </c:pt>
                <c:pt idx="220">
                  <c:v>1094.7140933656283</c:v>
                </c:pt>
                <c:pt idx="221">
                  <c:v>1104.8069343915781</c:v>
                </c:pt>
                <c:pt idx="222">
                  <c:v>1114.7128049972871</c:v>
                </c:pt>
                <c:pt idx="223">
                  <c:v>1124.4349886979628</c:v>
                </c:pt>
                <c:pt idx="224">
                  <c:v>1133.9766468724047</c:v>
                </c:pt>
                <c:pt idx="225">
                  <c:v>1143.3408243861154</c:v>
                </c:pt>
                <c:pt idx="226">
                  <c:v>1152.5304548839938</c:v>
                </c:pt>
                <c:pt idx="227">
                  <c:v>1161.5483657755656</c:v>
                </c:pt>
                <c:pt idx="228">
                  <c:v>1170.3972829338527</c:v>
                </c:pt>
                <c:pt idx="229">
                  <c:v>1179.0798351273077</c:v>
                </c:pt>
                <c:pt idx="230">
                  <c:v>1187.5985582027042</c:v>
                </c:pt>
                <c:pt idx="231">
                  <c:v>1195.9558990354885</c:v>
                </c:pt>
                <c:pt idx="232">
                  <c:v>1204.1542192628228</c:v>
                </c:pt>
                <c:pt idx="233">
                  <c:v>1212.1957988133934</c:v>
                </c:pt>
                <c:pt idx="234">
                  <c:v>1220.0828392469994</c:v>
                </c:pt>
                <c:pt idx="235">
                  <c:v>1227.8174669159669</c:v>
                </c:pt>
                <c:pt idx="236">
                  <c:v>1235.4017359595475</c:v>
                </c:pt>
                <c:pt idx="237">
                  <c:v>1242.8376311416487</c:v>
                </c:pt>
                <c:pt idx="238">
                  <c:v>1250.1270705414959</c:v>
                </c:pt>
                <c:pt idx="239">
                  <c:v>1257.2719081061441</c:v>
                </c:pt>
                <c:pt idx="240">
                  <c:v>1264.2739360731264</c:v>
                </c:pt>
                <c:pt idx="241">
                  <c:v>1271.1348872709498</c:v>
                </c:pt>
                <c:pt idx="242">
                  <c:v>1277.8564373046145</c:v>
                </c:pt>
                <c:pt idx="243">
                  <c:v>1284.4402066328453</c:v>
                </c:pt>
                <c:pt idx="244">
                  <c:v>1290.8877625432706</c:v>
                </c:pt>
                <c:pt idx="245">
                  <c:v>1297.2006210313668</c:v>
                </c:pt>
                <c:pt idx="246">
                  <c:v>1303.3802485886022</c:v>
                </c:pt>
                <c:pt idx="247">
                  <c:v>1309.4280639048604</c:v>
                </c:pt>
                <c:pt idx="248">
                  <c:v>1315.3454394898936</c:v>
                </c:pt>
                <c:pt idx="249">
                  <c:v>1321.1337032182519</c:v>
                </c:pt>
                <c:pt idx="250">
                  <c:v>1326.7941398018568</c:v>
                </c:pt>
                <c:pt idx="251">
                  <c:v>1332.3279921941271</c:v>
                </c:pt>
                <c:pt idx="252">
                  <c:v>1337.7364629293234</c:v>
                </c:pt>
                <c:pt idx="253">
                  <c:v>1343.020715400557</c:v>
                </c:pt>
                <c:pt idx="254">
                  <c:v>1348.1818750797065</c:v>
                </c:pt>
                <c:pt idx="255">
                  <c:v>1353.2210306822901</c:v>
                </c:pt>
                <c:pt idx="256">
                  <c:v>1358.1392352801724</c:v>
                </c:pt>
                <c:pt idx="257">
                  <c:v>1362.9375073648184</c:v>
                </c:pt>
                <c:pt idx="258">
                  <c:v>1367.6168318636637</c:v>
                </c:pt>
                <c:pt idx="259">
                  <c:v>1372.1781611120282</c:v>
                </c:pt>
                <c:pt idx="260">
                  <c:v>1376.6224157828801</c:v>
                </c:pt>
                <c:pt idx="261">
                  <c:v>1380.9504857766406</c:v>
                </c:pt>
                <c:pt idx="262">
                  <c:v>1385.1632310731152</c:v>
                </c:pt>
                <c:pt idx="263">
                  <c:v>1389.2614825475503</c:v>
                </c:pt>
                <c:pt idx="264">
                  <c:v>1393.2460427527217</c:v>
                </c:pt>
                <c:pt idx="265">
                  <c:v>1397.1176866688968</c:v>
                </c:pt>
                <c:pt idx="266">
                  <c:v>1400.8771624234441</c:v>
                </c:pt>
                <c:pt idx="267">
                  <c:v>1404.5251919818138</c:v>
                </c:pt>
                <c:pt idx="268">
                  <c:v>1408.0624718115669</c:v>
                </c:pt>
                <c:pt idx="269">
                  <c:v>1411.4896735211021</c:v>
                </c:pt>
                <c:pt idx="270">
                  <c:v>1414.8074444747053</c:v>
                </c:pt>
                <c:pt idx="271">
                  <c:v>1418.0164083855402</c:v>
                </c:pt>
                <c:pt idx="272">
                  <c:v>1421.1171658881976</c:v>
                </c:pt>
                <c:pt idx="273">
                  <c:v>1424.1102950924433</c:v>
                </c:pt>
                <c:pt idx="274">
                  <c:v>1426.9963521198263</c:v>
                </c:pt>
                <c:pt idx="275">
                  <c:v>1429.775871624867</c:v>
                </c:pt>
                <c:pt idx="276">
                  <c:v>1432.4493673025966</c:v>
                </c:pt>
                <c:pt idx="277">
                  <c:v>1435.0173323843062</c:v>
                </c:pt>
                <c:pt idx="278">
                  <c:v>1437.480240123466</c:v>
                </c:pt>
                <c:pt idx="279">
                  <c:v>1439.8385442738902</c:v>
                </c:pt>
                <c:pt idx="280">
                  <c:v>1442.0926795623748</c:v>
                </c:pt>
                <c:pt idx="281">
                  <c:v>1444.2430621581937</c:v>
                </c:pt>
                <c:pt idx="282">
                  <c:v>1446.2900901420362</c:v>
                </c:pt>
                <c:pt idx="283">
                  <c:v>1448.2341439771728</c:v>
                </c:pt>
                <c:pt idx="284">
                  <c:v>1450.0755869858763</c:v>
                </c:pt>
                <c:pt idx="285">
                  <c:v>1451.8147658343685</c:v>
                </c:pt>
                <c:pt idx="286">
                  <c:v>1453.4520110298265</c:v>
                </c:pt>
                <c:pt idx="287">
                  <c:v>1454.9876374332403</c:v>
                </c:pt>
                <c:pt idx="288">
                  <c:v>1456.4219447921628</c:v>
                </c:pt>
                <c:pt idx="289">
                  <c:v>1457.7552182976133</c:v>
                </c:pt>
                <c:pt idx="290">
                  <c:v>1458.9877291695527</c:v>
                </c:pt>
                <c:pt idx="291">
                  <c:v>1460.119735275435</c:v>
                </c:pt>
                <c:pt idx="292">
                  <c:v>1461.1514817862901</c:v>
                </c:pt>
                <c:pt idx="293">
                  <c:v>1462.083201874603</c:v>
                </c:pt>
                <c:pt idx="294">
                  <c:v>1462.9151174578424</c:v>
                </c:pt>
                <c:pt idx="295">
                  <c:v>1463.6474399908566</c:v>
                </c:pt>
                <c:pt idx="296">
                  <c:v>1464.2803713094268</c:v>
                </c:pt>
                <c:pt idx="297">
                  <c:v>1464.8141045260568</c:v>
                </c:pt>
                <c:pt idx="298">
                  <c:v>1465.2488249775708</c:v>
                </c:pt>
                <c:pt idx="299">
                  <c:v>1465.5847112223169</c:v>
                </c:pt>
                <c:pt idx="300">
                  <c:v>1465.8219360828161</c:v>
                </c:pt>
                <c:pt idx="301">
                  <c:v>1465.9606677276442</c:v>
                </c:pt>
                <c:pt idx="302">
                  <c:v>1466.0010707843194</c:v>
                </c:pt>
                <c:pt idx="303">
                  <c:v>1465.9433074731642</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109.28445472245635</c:v>
                </c:pt>
              </c:numCache>
            </c:numRef>
          </c:xVal>
          <c:yVal>
            <c:numRef>
              <c:f>Trajecto!$C$158</c:f>
              <c:numCache>
                <c:formatCode>0</c:formatCode>
                <c:ptCount val="1"/>
                <c:pt idx="0">
                  <c:v>732.97165373658208</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618.84774287487255</c:v>
                </c:pt>
              </c:numCache>
            </c:numRef>
          </c:xVal>
          <c:yVal>
            <c:numRef>
              <c:f>Trajecto!$C$159</c:f>
              <c:numCache>
                <c:formatCode>0</c:formatCode>
                <c:ptCount val="1"/>
                <c:pt idx="0">
                  <c:v>732.98033386382212</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{9B61A765-DD98-4CB5-90E8-198C2B2A0F04}</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433.08545246995413</c:v>
                </c:pt>
                <c:pt idx="1">
                  <c:v>456.08545246995413</c:v>
                </c:pt>
                <c:pt idx="2">
                  <c:v>456.08545246995413</c:v>
                </c:pt>
                <c:pt idx="3">
                  <c:v>433.08545246995413</c:v>
                </c:pt>
                <c:pt idx="4">
                  <c:v>456.08545246995413</c:v>
                </c:pt>
                <c:pt idx="5">
                  <c:v>456.08545246995413</c:v>
                </c:pt>
                <c:pt idx="6">
                  <c:v>441.08545246995413</c:v>
                </c:pt>
                <c:pt idx="7">
                  <c:v>441.08545246995413</c:v>
                </c:pt>
                <c:pt idx="8">
                  <c:v>456.08545246995413</c:v>
                </c:pt>
                <c:pt idx="9">
                  <c:v>441.08545246995413</c:v>
                </c:pt>
                <c:pt idx="10">
                  <c:v>440.68545246995416</c:v>
                </c:pt>
                <c:pt idx="11">
                  <c:v>439.88545246995415</c:v>
                </c:pt>
                <c:pt idx="12">
                  <c:v>439.08545246995413</c:v>
                </c:pt>
                <c:pt idx="13">
                  <c:v>438.08545246995413</c:v>
                </c:pt>
                <c:pt idx="14">
                  <c:v>436.88545246995415</c:v>
                </c:pt>
                <c:pt idx="15">
                  <c:v>433.08545246995413</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433.08545246995413</c:v>
                </c:pt>
                <c:pt idx="1">
                  <c:v>410.08545246995413</c:v>
                </c:pt>
                <c:pt idx="2">
                  <c:v>410.08545246995413</c:v>
                </c:pt>
                <c:pt idx="3">
                  <c:v>433.08545246995413</c:v>
                </c:pt>
                <c:pt idx="4">
                  <c:v>410.08545246995413</c:v>
                </c:pt>
                <c:pt idx="5">
                  <c:v>410.08545246995413</c:v>
                </c:pt>
                <c:pt idx="6">
                  <c:v>425.08545246995413</c:v>
                </c:pt>
                <c:pt idx="7">
                  <c:v>425.08545246995413</c:v>
                </c:pt>
                <c:pt idx="8">
                  <c:v>410.08545246995413</c:v>
                </c:pt>
                <c:pt idx="9">
                  <c:v>425.08545246995413</c:v>
                </c:pt>
                <c:pt idx="10">
                  <c:v>425.48545246995411</c:v>
                </c:pt>
                <c:pt idx="11">
                  <c:v>426.28545246995412</c:v>
                </c:pt>
                <c:pt idx="12">
                  <c:v>427.08545246995413</c:v>
                </c:pt>
                <c:pt idx="13">
                  <c:v>428.08545246995413</c:v>
                </c:pt>
                <c:pt idx="14">
                  <c:v>429.28545246995412</c:v>
                </c:pt>
                <c:pt idx="15">
                  <c:v>433.08545246995413</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{1D687A3C-78DC-48B9-A5FE-8C17E2A91F1D}</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433.08545246995413</c:v>
                </c:pt>
                <c:pt idx="1">
                  <c:v>433.08545246995413</c:v>
                </c:pt>
                <c:pt idx="2">
                  <c:v>443.08545246995413</c:v>
                </c:pt>
                <c:pt idx="3">
                  <c:v>433.08545246995413</c:v>
                </c:pt>
                <c:pt idx="4">
                  <c:v>443.08545246995413</c:v>
                </c:pt>
                <c:pt idx="5">
                  <c:v>446.08545246995413</c:v>
                </c:pt>
                <c:pt idx="6">
                  <c:v>450.08545246995413</c:v>
                </c:pt>
                <c:pt idx="7">
                  <c:v>453.08545246995413</c:v>
                </c:pt>
                <c:pt idx="8">
                  <c:v>458.08545246995413</c:v>
                </c:pt>
                <c:pt idx="9">
                  <c:v>463.08545246995413</c:v>
                </c:pt>
                <c:pt idx="10">
                  <c:v>469.08545246995413</c:v>
                </c:pt>
                <c:pt idx="11">
                  <c:v>481.08545246995413</c:v>
                </c:pt>
                <c:pt idx="12">
                  <c:v>495.08545246995413</c:v>
                </c:pt>
                <c:pt idx="13">
                  <c:v>470.08545246995413</c:v>
                </c:pt>
                <c:pt idx="14">
                  <c:v>463.08545246995413</c:v>
                </c:pt>
                <c:pt idx="15">
                  <c:v>448.08545246995413</c:v>
                </c:pt>
                <c:pt idx="16">
                  <c:v>433.08545246995413</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433.08545246995413</c:v>
                </c:pt>
                <c:pt idx="1">
                  <c:v>433.08545246995413</c:v>
                </c:pt>
                <c:pt idx="2">
                  <c:v>423.08545246995413</c:v>
                </c:pt>
                <c:pt idx="3">
                  <c:v>433.08545246995413</c:v>
                </c:pt>
                <c:pt idx="4">
                  <c:v>423.08545246995413</c:v>
                </c:pt>
                <c:pt idx="5">
                  <c:v>420.08545246995413</c:v>
                </c:pt>
                <c:pt idx="6">
                  <c:v>416.08545246995413</c:v>
                </c:pt>
                <c:pt idx="7">
                  <c:v>413.08545246995413</c:v>
                </c:pt>
                <c:pt idx="8">
                  <c:v>408.08545246995413</c:v>
                </c:pt>
                <c:pt idx="9">
                  <c:v>403.08545246995413</c:v>
                </c:pt>
                <c:pt idx="10">
                  <c:v>397.08545246995413</c:v>
                </c:pt>
                <c:pt idx="11">
                  <c:v>385.08545246995413</c:v>
                </c:pt>
                <c:pt idx="12">
                  <c:v>371.08545246995413</c:v>
                </c:pt>
                <c:pt idx="13">
                  <c:v>396.08545246995413</c:v>
                </c:pt>
                <c:pt idx="14">
                  <c:v>403.08545246995413</c:v>
                </c:pt>
                <c:pt idx="15">
                  <c:v>418.08545246995413</c:v>
                </c:pt>
                <c:pt idx="16">
                  <c:v>433.08545246995413</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433.08545246995413</c:v>
                </c:pt>
                <c:pt idx="1">
                  <c:v>450.08545246995413</c:v>
                </c:pt>
                <c:pt idx="2">
                  <c:v>444.08545246995413</c:v>
                </c:pt>
                <c:pt idx="3">
                  <c:v>433.08545246995413</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433.08545246995413</c:v>
                </c:pt>
                <c:pt idx="1">
                  <c:v>416.08545246995413</c:v>
                </c:pt>
                <c:pt idx="2">
                  <c:v>422.08545246995413</c:v>
                </c:pt>
                <c:pt idx="3">
                  <c:v>433.08545246995413</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{408290A1-62CD-44BB-B279-29DB9868D8A6}</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437.13781888982538</c:v>
                </c:pt>
                <c:pt idx="1">
                  <c:v>437.13781888982538</c:v>
                </c:pt>
                <c:pt idx="2">
                  <c:v>437.13781888982538</c:v>
                </c:pt>
                <c:pt idx="3">
                  <c:v>473.7864015766545</c:v>
                </c:pt>
                <c:pt idx="4">
                  <c:v>437.13781888982538</c:v>
                </c:pt>
                <c:pt idx="5">
                  <c:v>400.48923620299627</c:v>
                </c:pt>
                <c:pt idx="6">
                  <c:v>437.13781888982538</c:v>
                </c:pt>
              </c:numCache>
            </c:numRef>
          </c:xVal>
          <c:yVal>
            <c:numRef>
              <c:f>Trajecto!$C$124:$C$130</c:f>
              <c:numCache>
                <c:formatCode>0</c:formatCode>
                <c:ptCount val="7"/>
                <c:pt idx="0">
                  <c:v>1465.9433074731642</c:v>
                </c:pt>
                <c:pt idx="1">
                  <c:v>732.97165373658208</c:v>
                </c:pt>
                <c:pt idx="2">
                  <c:v>0</c:v>
                </c:pt>
                <c:pt idx="3">
                  <c:v>73.297165373658203</c:v>
                </c:pt>
                <c:pt idx="4">
                  <c:v>0</c:v>
                </c:pt>
                <c:pt idx="5">
                  <c:v>73.297165373658203</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1465.9606677276442</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-1</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3.9999999999999831</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4.9999999999999618</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5.9999999999999547</c:v>
                </c:pt>
                <c:pt idx="209">
                  <c:v>#N/A</c:v>
                </c:pt>
                <c:pt idx="210">
                  <c:v>#N/A</c:v>
                </c:pt>
                <c:pt idx="211">
                  <c:v>#N/A</c:v>
                </c:pt>
                <c:pt idx="212">
                  <c:v>#N/A</c:v>
                </c:pt>
                <c:pt idx="213">
                  <c:v>#N/A</c:v>
                </c:pt>
                <c:pt idx="214">
                  <c:v>#N/A</c:v>
                </c:pt>
                <c:pt idx="215">
                  <c:v>#N/A</c:v>
                </c:pt>
                <c:pt idx="216">
                  <c:v>#N/A</c:v>
                </c:pt>
                <c:pt idx="217">
                  <c:v>#N/A</c:v>
                </c:pt>
                <c:pt idx="218">
                  <c:v>6.9999999999999512</c:v>
                </c:pt>
                <c:pt idx="219">
                  <c:v>#N/A</c:v>
                </c:pt>
                <c:pt idx="220">
                  <c:v>#N/A</c:v>
                </c:pt>
                <c:pt idx="221">
                  <c:v>#N/A</c:v>
                </c:pt>
                <c:pt idx="222">
                  <c:v>#N/A</c:v>
                </c:pt>
                <c:pt idx="223">
                  <c:v>#N/A</c:v>
                </c:pt>
                <c:pt idx="224">
                  <c:v>#N/A</c:v>
                </c:pt>
                <c:pt idx="225">
                  <c:v>#N/A</c:v>
                </c:pt>
                <c:pt idx="226">
                  <c:v>#N/A</c:v>
                </c:pt>
                <c:pt idx="227">
                  <c:v>#N/A</c:v>
                </c:pt>
                <c:pt idx="228">
                  <c:v>7.9999999999999476</c:v>
                </c:pt>
                <c:pt idx="229">
                  <c:v>#N/A</c:v>
                </c:pt>
                <c:pt idx="230">
                  <c:v>#N/A</c:v>
                </c:pt>
                <c:pt idx="231">
                  <c:v>#N/A</c:v>
                </c:pt>
                <c:pt idx="232">
                  <c:v>#N/A</c:v>
                </c:pt>
                <c:pt idx="233">
                  <c:v>#N/A</c:v>
                </c:pt>
                <c:pt idx="234">
                  <c:v>#N/A</c:v>
                </c:pt>
                <c:pt idx="235">
                  <c:v>#N/A</c:v>
                </c:pt>
                <c:pt idx="236">
                  <c:v>#N/A</c:v>
                </c:pt>
                <c:pt idx="237">
                  <c:v>#N/A</c:v>
                </c:pt>
                <c:pt idx="238">
                  <c:v>8.9999999999999449</c:v>
                </c:pt>
                <c:pt idx="239">
                  <c:v>#N/A</c:v>
                </c:pt>
                <c:pt idx="240">
                  <c:v>#N/A</c:v>
                </c:pt>
                <c:pt idx="241">
                  <c:v>#N/A</c:v>
                </c:pt>
                <c:pt idx="242">
                  <c:v>#N/A</c:v>
                </c:pt>
                <c:pt idx="243">
                  <c:v>#N/A</c:v>
                </c:pt>
                <c:pt idx="244">
                  <c:v>#N/A</c:v>
                </c:pt>
                <c:pt idx="245">
                  <c:v>#N/A</c:v>
                </c:pt>
                <c:pt idx="246">
                  <c:v>#N/A</c:v>
                </c:pt>
                <c:pt idx="247">
                  <c:v>#N/A</c:v>
                </c:pt>
                <c:pt idx="248">
                  <c:v>9.9999999999999414</c:v>
                </c:pt>
                <c:pt idx="249">
                  <c:v>#N/A</c:v>
                </c:pt>
                <c:pt idx="250">
                  <c:v>#N/A</c:v>
                </c:pt>
                <c:pt idx="251">
                  <c:v>#N/A</c:v>
                </c:pt>
                <c:pt idx="252">
                  <c:v>#N/A</c:v>
                </c:pt>
                <c:pt idx="253">
                  <c:v>#N/A</c:v>
                </c:pt>
                <c:pt idx="254">
                  <c:v>#N/A</c:v>
                </c:pt>
                <c:pt idx="255">
                  <c:v>#N/A</c:v>
                </c:pt>
                <c:pt idx="256">
                  <c:v>#N/A</c:v>
                </c:pt>
                <c:pt idx="257">
                  <c:v>#N/A</c:v>
                </c:pt>
                <c:pt idx="258">
                  <c:v>10.999999999999938</c:v>
                </c:pt>
                <c:pt idx="259">
                  <c:v>#N/A</c:v>
                </c:pt>
                <c:pt idx="260">
                  <c:v>#N/A</c:v>
                </c:pt>
                <c:pt idx="261">
                  <c:v>#N/A</c:v>
                </c:pt>
                <c:pt idx="262">
                  <c:v>#N/A</c:v>
                </c:pt>
                <c:pt idx="263">
                  <c:v>#N/A</c:v>
                </c:pt>
                <c:pt idx="264">
                  <c:v>#N/A</c:v>
                </c:pt>
                <c:pt idx="265">
                  <c:v>#N/A</c:v>
                </c:pt>
                <c:pt idx="266">
                  <c:v>#N/A</c:v>
                </c:pt>
                <c:pt idx="267">
                  <c:v>#N/A</c:v>
                </c:pt>
                <c:pt idx="268">
                  <c:v>11.999999999999934</c:v>
                </c:pt>
                <c:pt idx="269">
                  <c:v>#N/A</c:v>
                </c:pt>
                <c:pt idx="270">
                  <c:v>#N/A</c:v>
                </c:pt>
                <c:pt idx="271">
                  <c:v>#N/A</c:v>
                </c:pt>
                <c:pt idx="272">
                  <c:v>#N/A</c:v>
                </c:pt>
                <c:pt idx="273">
                  <c:v>#N/A</c:v>
                </c:pt>
                <c:pt idx="274">
                  <c:v>#N/A</c:v>
                </c:pt>
                <c:pt idx="275">
                  <c:v>#N/A</c:v>
                </c:pt>
                <c:pt idx="276">
                  <c:v>#N/A</c:v>
                </c:pt>
                <c:pt idx="277">
                  <c:v>#N/A</c:v>
                </c:pt>
                <c:pt idx="278">
                  <c:v>12.999999999999931</c:v>
                </c:pt>
                <c:pt idx="279">
                  <c:v>#N/A</c:v>
                </c:pt>
                <c:pt idx="280">
                  <c:v>#N/A</c:v>
                </c:pt>
                <c:pt idx="281">
                  <c:v>#N/A</c:v>
                </c:pt>
                <c:pt idx="282">
                  <c:v>#N/A</c:v>
                </c:pt>
                <c:pt idx="283">
                  <c:v>#N/A</c:v>
                </c:pt>
                <c:pt idx="284">
                  <c:v>#N/A</c:v>
                </c:pt>
                <c:pt idx="285">
                  <c:v>#N/A</c:v>
                </c:pt>
                <c:pt idx="286">
                  <c:v>#N/A</c:v>
                </c:pt>
                <c:pt idx="287">
                  <c:v>#N/A</c:v>
                </c:pt>
                <c:pt idx="288">
                  <c:v>13.999999999999927</c:v>
                </c:pt>
                <c:pt idx="289">
                  <c:v>#N/A</c:v>
                </c:pt>
                <c:pt idx="290">
                  <c:v>#N/A</c:v>
                </c:pt>
                <c:pt idx="291">
                  <c:v>#N/A</c:v>
                </c:pt>
                <c:pt idx="292">
                  <c:v>#N/A</c:v>
                </c:pt>
                <c:pt idx="293">
                  <c:v>#N/A</c:v>
                </c:pt>
                <c:pt idx="294">
                  <c:v>#N/A</c:v>
                </c:pt>
                <c:pt idx="295">
                  <c:v>#N/A</c:v>
                </c:pt>
                <c:pt idx="296">
                  <c:v>#N/A</c:v>
                </c:pt>
                <c:pt idx="297">
                  <c:v>#N/A</c:v>
                </c:pt>
                <c:pt idx="298">
                  <c:v>14.999999999999924</c:v>
                </c:pt>
                <c:pt idx="299">
                  <c:v>#N/A</c:v>
                </c:pt>
                <c:pt idx="300">
                  <c:v>#N/A</c:v>
                </c:pt>
                <c:pt idx="301">
                  <c:v>#N/A</c:v>
                </c:pt>
                <c:pt idx="302">
                  <c:v>#N/A</c:v>
                </c:pt>
                <c:pt idx="303">
                  <c:v>#N/A</c:v>
                </c:pt>
                <c:pt idx="304">
                  <c:v>#N/A</c:v>
                </c:pt>
                <c:pt idx="305">
                  <c:v>#N/A</c:v>
                </c:pt>
                <c:pt idx="306">
                  <c:v>#N/A</c:v>
                </c:pt>
                <c:pt idx="307">
                  <c:v>#N/A</c:v>
                </c:pt>
                <c:pt idx="308">
                  <c:v>15.99999999999992</c:v>
                </c:pt>
                <c:pt idx="309">
                  <c:v>#N/A</c:v>
                </c:pt>
                <c:pt idx="310">
                  <c:v>#N/A</c:v>
                </c:pt>
                <c:pt idx="311">
                  <c:v>#N/A</c:v>
                </c:pt>
                <c:pt idx="312">
                  <c:v>#N/A</c:v>
                </c:pt>
                <c:pt idx="313">
                  <c:v>#N/A</c:v>
                </c:pt>
                <c:pt idx="314">
                  <c:v>#N/A</c:v>
                </c:pt>
                <c:pt idx="315">
                  <c:v>#N/A</c:v>
                </c:pt>
                <c:pt idx="316">
                  <c:v>#N/A</c:v>
                </c:pt>
                <c:pt idx="317">
                  <c:v>#N/A</c:v>
                </c:pt>
                <c:pt idx="318">
                  <c:v>16.999999999999932</c:v>
                </c:pt>
                <c:pt idx="319">
                  <c:v>#N/A</c:v>
                </c:pt>
                <c:pt idx="320">
                  <c:v>#N/A</c:v>
                </c:pt>
                <c:pt idx="321">
                  <c:v>#N/A</c:v>
                </c:pt>
                <c:pt idx="322">
                  <c:v>#N/A</c:v>
                </c:pt>
                <c:pt idx="323">
                  <c:v>#N/A</c:v>
                </c:pt>
                <c:pt idx="324">
                  <c:v>#N/A</c:v>
                </c:pt>
                <c:pt idx="325">
                  <c:v>#N/A</c:v>
                </c:pt>
                <c:pt idx="326">
                  <c:v>#N/A</c:v>
                </c:pt>
                <c:pt idx="327">
                  <c:v>#N/A</c:v>
                </c:pt>
                <c:pt idx="328">
                  <c:v>17.999999999999947</c:v>
                </c:pt>
                <c:pt idx="329">
                  <c:v>#N/A</c:v>
                </c:pt>
                <c:pt idx="330">
                  <c:v>#N/A</c:v>
                </c:pt>
                <c:pt idx="331">
                  <c:v>#N/A</c:v>
                </c:pt>
                <c:pt idx="332">
                  <c:v>#N/A</c:v>
                </c:pt>
                <c:pt idx="333">
                  <c:v>#N/A</c:v>
                </c:pt>
                <c:pt idx="334">
                  <c:v>#N/A</c:v>
                </c:pt>
                <c:pt idx="335">
                  <c:v>#N/A</c:v>
                </c:pt>
                <c:pt idx="336">
                  <c:v>#N/A</c:v>
                </c:pt>
                <c:pt idx="337">
                  <c:v>#N/A</c:v>
                </c:pt>
                <c:pt idx="338">
                  <c:v>18.999999999999961</c:v>
                </c:pt>
                <c:pt idx="339">
                  <c:v>#N/A</c:v>
                </c:pt>
                <c:pt idx="340">
                  <c:v>#N/A</c:v>
                </c:pt>
                <c:pt idx="341">
                  <c:v>#N/A</c:v>
                </c:pt>
                <c:pt idx="342">
                  <c:v>#N/A</c:v>
                </c:pt>
                <c:pt idx="343">
                  <c:v>#N/A</c:v>
                </c:pt>
                <c:pt idx="344">
                  <c:v>#N/A</c:v>
                </c:pt>
                <c:pt idx="345">
                  <c:v>#N/A</c:v>
                </c:pt>
                <c:pt idx="346">
                  <c:v>#N/A</c:v>
                </c:pt>
                <c:pt idx="347">
                  <c:v>#N/A</c:v>
                </c:pt>
                <c:pt idx="348">
                  <c:v>19.999999999999975</c:v>
                </c:pt>
                <c:pt idx="349">
                  <c:v>#N/A</c:v>
                </c:pt>
                <c:pt idx="350">
                  <c:v>#N/A</c:v>
                </c:pt>
                <c:pt idx="351">
                  <c:v>#N/A</c:v>
                </c:pt>
                <c:pt idx="352">
                  <c:v>#N/A</c:v>
                </c:pt>
                <c:pt idx="353">
                  <c:v>#N/A</c:v>
                </c:pt>
                <c:pt idx="354">
                  <c:v>#N/A</c:v>
                </c:pt>
                <c:pt idx="355">
                  <c:v>#N/A</c:v>
                </c:pt>
                <c:pt idx="356">
                  <c:v>#N/A</c:v>
                </c:pt>
                <c:pt idx="357">
                  <c:v>#N/A</c:v>
                </c:pt>
                <c:pt idx="358">
                  <c:v>20.999999999999989</c:v>
                </c:pt>
                <c:pt idx="359">
                  <c:v>#N/A</c:v>
                </c:pt>
                <c:pt idx="360">
                  <c:v>#N/A</c:v>
                </c:pt>
                <c:pt idx="361">
                  <c:v>#N/A</c:v>
                </c:pt>
                <c:pt idx="362">
                  <c:v>#N/A</c:v>
                </c:pt>
                <c:pt idx="363">
                  <c:v>#N/A</c:v>
                </c:pt>
                <c:pt idx="364">
                  <c:v>#N/A</c:v>
                </c:pt>
                <c:pt idx="365">
                  <c:v>#N/A</c:v>
                </c:pt>
                <c:pt idx="366">
                  <c:v>#N/A</c:v>
                </c:pt>
                <c:pt idx="367">
                  <c:v>#N/A</c:v>
                </c:pt>
                <c:pt idx="368">
                  <c:v>22.000000000000004</c:v>
                </c:pt>
                <c:pt idx="369">
                  <c:v>#N/A</c:v>
                </c:pt>
                <c:pt idx="370">
                  <c:v>#N/A</c:v>
                </c:pt>
                <c:pt idx="371">
                  <c:v>#N/A</c:v>
                </c:pt>
                <c:pt idx="372">
                  <c:v>#N/A</c:v>
                </c:pt>
                <c:pt idx="373">
                  <c:v>#N/A</c:v>
                </c:pt>
                <c:pt idx="374">
                  <c:v>#N/A</c:v>
                </c:pt>
                <c:pt idx="375">
                  <c:v>#N/A</c:v>
                </c:pt>
                <c:pt idx="376">
                  <c:v>#N/A</c:v>
                </c:pt>
                <c:pt idx="377">
                  <c:v>#N/A</c:v>
                </c:pt>
                <c:pt idx="378">
                  <c:v>23.000000000000018</c:v>
                </c:pt>
                <c:pt idx="379">
                  <c:v>#N/A</c:v>
                </c:pt>
                <c:pt idx="380">
                  <c:v>#N/A</c:v>
                </c:pt>
                <c:pt idx="381">
                  <c:v>#N/A</c:v>
                </c:pt>
                <c:pt idx="382">
                  <c:v>#N/A</c:v>
                </c:pt>
                <c:pt idx="383">
                  <c:v>#N/A</c:v>
                </c:pt>
                <c:pt idx="384">
                  <c:v>#N/A</c:v>
                </c:pt>
                <c:pt idx="385">
                  <c:v>#N/A</c:v>
                </c:pt>
                <c:pt idx="386">
                  <c:v>#N/A</c:v>
                </c:pt>
                <c:pt idx="387">
                  <c:v>#N/A</c:v>
                </c:pt>
                <c:pt idx="388">
                  <c:v>24.000000000000032</c:v>
                </c:pt>
                <c:pt idx="389">
                  <c:v>#N/A</c:v>
                </c:pt>
                <c:pt idx="390">
                  <c:v>#N/A</c:v>
                </c:pt>
                <c:pt idx="391">
                  <c:v>#N/A</c:v>
                </c:pt>
                <c:pt idx="392">
                  <c:v>#N/A</c:v>
                </c:pt>
                <c:pt idx="393">
                  <c:v>#N/A</c:v>
                </c:pt>
                <c:pt idx="394">
                  <c:v>#N/A</c:v>
                </c:pt>
                <c:pt idx="395">
                  <c:v>#N/A</c:v>
                </c:pt>
                <c:pt idx="396">
                  <c:v>#N/A</c:v>
                </c:pt>
                <c:pt idx="397">
                  <c:v>#N/A</c:v>
                </c:pt>
                <c:pt idx="398">
                  <c:v>25.000000000000046</c:v>
                </c:pt>
                <c:pt idx="399">
                  <c:v>#N/A</c:v>
                </c:pt>
                <c:pt idx="400">
                  <c:v>#N/A</c:v>
                </c:pt>
                <c:pt idx="401">
                  <c:v>#N/A</c:v>
                </c:pt>
                <c:pt idx="402">
                  <c:v>#N/A</c:v>
                </c:pt>
                <c:pt idx="403">
                  <c:v>#N/A</c:v>
                </c:pt>
                <c:pt idx="404">
                  <c:v>#N/A</c:v>
                </c:pt>
                <c:pt idx="405">
                  <c:v>#N/A</c:v>
                </c:pt>
                <c:pt idx="406">
                  <c:v>#N/A</c:v>
                </c:pt>
                <c:pt idx="407">
                  <c:v>#N/A</c:v>
                </c:pt>
                <c:pt idx="408">
                  <c:v>26.00000000000006</c:v>
                </c:pt>
                <c:pt idx="409">
                  <c:v>#N/A</c:v>
                </c:pt>
                <c:pt idx="410">
                  <c:v>#N/A</c:v>
                </c:pt>
                <c:pt idx="411">
                  <c:v>#N/A</c:v>
                </c:pt>
                <c:pt idx="412">
                  <c:v>#N/A</c:v>
                </c:pt>
                <c:pt idx="413">
                  <c:v>#N/A</c:v>
                </c:pt>
                <c:pt idx="414">
                  <c:v>#N/A</c:v>
                </c:pt>
                <c:pt idx="415">
                  <c:v>#N/A</c:v>
                </c:pt>
                <c:pt idx="416">
                  <c:v>#N/A</c:v>
                </c:pt>
                <c:pt idx="417">
                  <c:v>#N/A</c:v>
                </c:pt>
                <c:pt idx="418">
                  <c:v>27.000000000000075</c:v>
                </c:pt>
                <c:pt idx="419">
                  <c:v>#N/A</c:v>
                </c:pt>
                <c:pt idx="420">
                  <c:v>#N/A</c:v>
                </c:pt>
                <c:pt idx="421">
                  <c:v>#N/A</c:v>
                </c:pt>
                <c:pt idx="422">
                  <c:v>#N/A</c:v>
                </c:pt>
                <c:pt idx="423">
                  <c:v>#N/A</c:v>
                </c:pt>
                <c:pt idx="424">
                  <c:v>#N/A</c:v>
                </c:pt>
                <c:pt idx="425">
                  <c:v>#N/A</c:v>
                </c:pt>
                <c:pt idx="426">
                  <c:v>#N/A</c:v>
                </c:pt>
                <c:pt idx="427">
                  <c:v>#N/A</c:v>
                </c:pt>
                <c:pt idx="428">
                  <c:v>28.000000000000089</c:v>
                </c:pt>
                <c:pt idx="429">
                  <c:v>#N/A</c:v>
                </c:pt>
                <c:pt idx="430">
                  <c:v>#N/A</c:v>
                </c:pt>
                <c:pt idx="431">
                  <c:v>#N/A</c:v>
                </c:pt>
                <c:pt idx="432">
                  <c:v>#N/A</c:v>
                </c:pt>
                <c:pt idx="433">
                  <c:v>#N/A</c:v>
                </c:pt>
                <c:pt idx="434">
                  <c:v>#N/A</c:v>
                </c:pt>
                <c:pt idx="435">
                  <c:v>#N/A</c:v>
                </c:pt>
                <c:pt idx="436">
                  <c:v>#N/A</c:v>
                </c:pt>
                <c:pt idx="437">
                  <c:v>#N/A</c:v>
                </c:pt>
                <c:pt idx="438">
                  <c:v>29.000000000000103</c:v>
                </c:pt>
                <c:pt idx="439">
                  <c:v>#N/A</c:v>
                </c:pt>
                <c:pt idx="440">
                  <c:v>#N/A</c:v>
                </c:pt>
                <c:pt idx="441">
                  <c:v>#N/A</c:v>
                </c:pt>
                <c:pt idx="442">
                  <c:v>#N/A</c:v>
                </c:pt>
                <c:pt idx="443">
                  <c:v>#N/A</c:v>
                </c:pt>
                <c:pt idx="444">
                  <c:v>#N/A</c:v>
                </c:pt>
                <c:pt idx="445">
                  <c:v>#N/A</c:v>
                </c:pt>
                <c:pt idx="446">
                  <c:v>#N/A</c:v>
                </c:pt>
                <c:pt idx="447">
                  <c:v>#N/A</c:v>
                </c:pt>
                <c:pt idx="448">
                  <c:v>30.000000000000117</c:v>
                </c:pt>
                <c:pt idx="449">
                  <c:v>#N/A</c:v>
                </c:pt>
                <c:pt idx="450">
                  <c:v>#N/A</c:v>
                </c:pt>
                <c:pt idx="451">
                  <c:v>#N/A</c:v>
                </c:pt>
                <c:pt idx="452">
                  <c:v>#N/A</c:v>
                </c:pt>
                <c:pt idx="453">
                  <c:v>#N/A</c:v>
                </c:pt>
                <c:pt idx="454">
                  <c:v>#N/A</c:v>
                </c:pt>
                <c:pt idx="455">
                  <c:v>#N/A</c:v>
                </c:pt>
                <c:pt idx="456">
                  <c:v>#N/A</c:v>
                </c:pt>
                <c:pt idx="457">
                  <c:v>#N/A</c:v>
                </c:pt>
                <c:pt idx="458">
                  <c:v>31.000000000000131</c:v>
                </c:pt>
                <c:pt idx="459">
                  <c:v>#N/A</c:v>
                </c:pt>
                <c:pt idx="460">
                  <c:v>#N/A</c:v>
                </c:pt>
                <c:pt idx="461">
                  <c:v>#N/A</c:v>
                </c:pt>
                <c:pt idx="462">
                  <c:v>#N/A</c:v>
                </c:pt>
                <c:pt idx="463">
                  <c:v>#N/A</c:v>
                </c:pt>
                <c:pt idx="464">
                  <c:v>#N/A</c:v>
                </c:pt>
                <c:pt idx="465">
                  <c:v>#N/A</c:v>
                </c:pt>
                <c:pt idx="466">
                  <c:v>#N/A</c:v>
                </c:pt>
                <c:pt idx="467">
                  <c:v>#N/A</c:v>
                </c:pt>
                <c:pt idx="468">
                  <c:v>32.000000000000142</c:v>
                </c:pt>
                <c:pt idx="469">
                  <c:v>#N/A</c:v>
                </c:pt>
                <c:pt idx="470">
                  <c:v>#N/A</c:v>
                </c:pt>
                <c:pt idx="471">
                  <c:v>#N/A</c:v>
                </c:pt>
                <c:pt idx="472">
                  <c:v>#N/A</c:v>
                </c:pt>
                <c:pt idx="473">
                  <c:v>#N/A</c:v>
                </c:pt>
                <c:pt idx="474">
                  <c:v>#N/A</c:v>
                </c:pt>
                <c:pt idx="475">
                  <c:v>#N/A</c:v>
                </c:pt>
                <c:pt idx="476">
                  <c:v>#N/A</c:v>
                </c:pt>
                <c:pt idx="477">
                  <c:v>#N/A</c:v>
                </c:pt>
                <c:pt idx="478">
                  <c:v>33.000000000000156</c:v>
                </c:pt>
                <c:pt idx="479">
                  <c:v>#N/A</c:v>
                </c:pt>
                <c:pt idx="480">
                  <c:v>#N/A</c:v>
                </c:pt>
                <c:pt idx="481">
                  <c:v>#N/A</c:v>
                </c:pt>
                <c:pt idx="482">
                  <c:v>#N/A</c:v>
                </c:pt>
                <c:pt idx="483">
                  <c:v>#N/A</c:v>
                </c:pt>
                <c:pt idx="484">
                  <c:v>#N/A</c:v>
                </c:pt>
                <c:pt idx="485">
                  <c:v>#N/A</c:v>
                </c:pt>
                <c:pt idx="486">
                  <c:v>#N/A</c:v>
                </c:pt>
                <c:pt idx="487">
                  <c:v>#N/A</c:v>
                </c:pt>
                <c:pt idx="488">
                  <c:v>34.000000000000171</c:v>
                </c:pt>
                <c:pt idx="489">
                  <c:v>#N/A</c:v>
                </c:pt>
                <c:pt idx="490">
                  <c:v>#N/A</c:v>
                </c:pt>
                <c:pt idx="491">
                  <c:v>#N/A</c:v>
                </c:pt>
                <c:pt idx="492">
                  <c:v>#N/A</c:v>
                </c:pt>
                <c:pt idx="493">
                  <c:v>#N/A</c:v>
                </c:pt>
                <c:pt idx="494">
                  <c:v>#N/A</c:v>
                </c:pt>
                <c:pt idx="495">
                  <c:v>#N/A</c:v>
                </c:pt>
                <c:pt idx="496">
                  <c:v>#N/A</c:v>
                </c:pt>
                <c:pt idx="497">
                  <c:v>#N/A</c:v>
                </c:pt>
                <c:pt idx="498">
                  <c:v>35.000000000000185</c:v>
                </c:pt>
                <c:pt idx="499">
                  <c:v>#N/A</c:v>
                </c:pt>
                <c:pt idx="500">
                  <c:v>#N/A</c:v>
                </c:pt>
                <c:pt idx="501">
                  <c:v>#N/A</c:v>
                </c:pt>
                <c:pt idx="502">
                  <c:v>#N/A</c:v>
                </c:pt>
                <c:pt idx="503">
                  <c:v>#N/A</c:v>
                </c:pt>
                <c:pt idx="504">
                  <c:v>#N/A</c:v>
                </c:pt>
                <c:pt idx="505">
                  <c:v>#N/A</c:v>
                </c:pt>
                <c:pt idx="506">
                  <c:v>#N/A</c:v>
                </c:pt>
                <c:pt idx="507">
                  <c:v>#N/A</c:v>
                </c:pt>
                <c:pt idx="508">
                  <c:v>36.000000000000199</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497.16938386972515</c:v>
                </c:pt>
                <c:pt idx="1">
                  <c:v>498.89571863685381</c:v>
                </c:pt>
                <c:pt idx="2">
                  <c:v>500.62286602706746</c:v>
                </c:pt>
                <c:pt idx="3">
                  <c:v>502.35397500412506</c:v>
                </c:pt>
                <c:pt idx="4">
                  <c:v>504.0896126384792</c:v>
                </c:pt>
                <c:pt idx="5">
                  <c:v>505.82922692069394</c:v>
                </c:pt>
                <c:pt idx="6">
                  <c:v>507.57260713217528</c:v>
                </c:pt>
                <c:pt idx="7">
                  <c:v>509.31971309683456</c:v>
                </c:pt>
                <c:pt idx="8">
                  <c:v>511.0705047042224</c:v>
                </c:pt>
                <c:pt idx="9">
                  <c:v>512.82494191034959</c:v>
                </c:pt>
                <c:pt idx="10">
                  <c:v>514.58298473849538</c:v>
                </c:pt>
                <c:pt idx="11">
                  <c:v>516.34459328000275</c:v>
                </c:pt>
                <c:pt idx="12">
                  <c:v>518.109727695061</c:v>
                </c:pt>
                <c:pt idx="13">
                  <c:v>519.87834821347565</c:v>
                </c:pt>
                <c:pt idx="14">
                  <c:v>521.65041513542531</c:v>
                </c:pt>
                <c:pt idx="15">
                  <c:v>523.4258888322064</c:v>
                </c:pt>
                <c:pt idx="16">
                  <c:v>525.20472974696497</c:v>
                </c:pt>
                <c:pt idx="17">
                  <c:v>526.98689839541555</c:v>
                </c:pt>
                <c:pt idx="18">
                  <c:v>528.77235536654837</c:v>
                </c:pt>
                <c:pt idx="19">
                  <c:v>530.56106132332297</c:v>
                </c:pt>
                <c:pt idx="20">
                  <c:v>532.35297700335036</c:v>
                </c:pt>
                <c:pt idx="21">
                  <c:v>534.14806321956223</c:v>
                </c:pt>
                <c:pt idx="22">
                  <c:v>535.94628086086789</c:v>
                </c:pt>
                <c:pt idx="23">
                  <c:v>537.74759089279883</c:v>
                </c:pt>
                <c:pt idx="24">
                  <c:v>539.5519543581413</c:v>
                </c:pt>
                <c:pt idx="25">
                  <c:v>541.35933237755637</c:v>
                </c:pt>
                <c:pt idx="26">
                  <c:v>543.16968615018823</c:v>
                </c:pt>
                <c:pt idx="27">
                  <c:v>544.98297695425981</c:v>
                </c:pt>
                <c:pt idx="28">
                  <c:v>546.79916614765705</c:v>
                </c:pt>
                <c:pt idx="29">
                  <c:v>548.61821516850068</c:v>
                </c:pt>
                <c:pt idx="30">
                  <c:v>550.44008553570643</c:v>
                </c:pt>
                <c:pt idx="31">
                  <c:v>552.26473884953316</c:v>
                </c:pt>
                <c:pt idx="32">
                  <c:v>554.09213679211916</c:v>
                </c:pt>
                <c:pt idx="33">
                  <c:v>555.92224112800693</c:v>
                </c:pt>
                <c:pt idx="34">
                  <c:v>557.75501370465633</c:v>
                </c:pt>
                <c:pt idx="35">
                  <c:v>559.59041645294565</c:v>
                </c:pt>
                <c:pt idx="36">
                  <c:v>561.42841138766175</c:v>
                </c:pt>
                <c:pt idx="37">
                  <c:v>563.26896060797856</c:v>
                </c:pt>
                <c:pt idx="38">
                  <c:v>565.11202629792365</c:v>
                </c:pt>
                <c:pt idx="39">
                  <c:v>566.95757072683443</c:v>
                </c:pt>
                <c:pt idx="40">
                  <c:v>568.80555624980207</c:v>
                </c:pt>
                <c:pt idx="41">
                  <c:v>570.65594530810483</c:v>
                </c:pt>
                <c:pt idx="42">
                  <c:v>572.50870042963038</c:v>
                </c:pt>
                <c:pt idx="43">
                  <c:v>574.36378422928669</c:v>
                </c:pt>
                <c:pt idx="44">
                  <c:v>576.22115940940182</c:v>
                </c:pt>
                <c:pt idx="45">
                  <c:v>578.08078876011325</c:v>
                </c:pt>
                <c:pt idx="46">
                  <c:v>579.94263515974637</c:v>
                </c:pt>
                <c:pt idx="47">
                  <c:v>581.80666157518158</c:v>
                </c:pt>
                <c:pt idx="48">
                  <c:v>583.67283106221134</c:v>
                </c:pt>
                <c:pt idx="49">
                  <c:v>585.54110676588652</c:v>
                </c:pt>
                <c:pt idx="50">
                  <c:v>587.41145192085196</c:v>
                </c:pt>
                <c:pt idx="51">
                  <c:v>589.28382985167161</c:v>
                </c:pt>
                <c:pt idx="52">
                  <c:v>591.15820397314349</c:v>
                </c:pt>
                <c:pt idx="53">
                  <c:v>593.03453779060419</c:v>
                </c:pt>
                <c:pt idx="54">
                  <c:v>594.91279490022328</c:v>
                </c:pt>
                <c:pt idx="55">
                  <c:v>596.79293898928722</c:v>
                </c:pt>
                <c:pt idx="56">
                  <c:v>598.67493383647388</c:v>
                </c:pt>
                <c:pt idx="57">
                  <c:v>600.55874331211612</c:v>
                </c:pt>
                <c:pt idx="58">
                  <c:v>602.44433137845647</c:v>
                </c:pt>
                <c:pt idx="59">
                  <c:v>604.33166208989121</c:v>
                </c:pt>
                <c:pt idx="60">
                  <c:v>606.22069959320504</c:v>
                </c:pt>
                <c:pt idx="61">
                  <c:v>608.11140812779593</c:v>
                </c:pt>
                <c:pt idx="62">
                  <c:v>610.00375202589078</c:v>
                </c:pt>
                <c:pt idx="63">
                  <c:v>611.89768087486266</c:v>
                </c:pt>
                <c:pt idx="64">
                  <c:v>613.79311471546873</c:v>
                </c:pt>
                <c:pt idx="65">
                  <c:v>615.68995896065621</c:v>
                </c:pt>
                <c:pt idx="66">
                  <c:v>617.58811927899751</c:v>
                </c:pt>
                <c:pt idx="67">
                  <c:v>619.48748799290047</c:v>
                </c:pt>
                <c:pt idx="68">
                  <c:v>621.38793051129596</c:v>
                </c:pt>
                <c:pt idx="69">
                  <c:v>623.28927481555581</c:v>
                </c:pt>
                <c:pt idx="70">
                  <c:v>625.19130097568188</c:v>
                </c:pt>
                <c:pt idx="71">
                  <c:v>627.09376548942146</c:v>
                </c:pt>
                <c:pt idx="72">
                  <c:v>628.99642555996002</c:v>
                </c:pt>
                <c:pt idx="73">
                  <c:v>630.89903910368525</c:v>
                </c:pt>
                <c:pt idx="74">
                  <c:v>632.80136475756046</c:v>
                </c:pt>
                <c:pt idx="75">
                  <c:v>634.70316188611059</c:v>
                </c:pt>
                <c:pt idx="76">
                  <c:v>636.60419058802518</c:v>
                </c:pt>
                <c:pt idx="77">
                  <c:v>638.50421170238076</c:v>
                </c:pt>
                <c:pt idx="78">
                  <c:v>640.40298681448792</c:v>
                </c:pt>
                <c:pt idx="79">
                  <c:v>642.30027826136597</c:v>
                </c:pt>
                <c:pt idx="80">
                  <c:v>644.1958491368498</c:v>
                </c:pt>
                <c:pt idx="81">
                  <c:v>646.08949207993192</c:v>
                </c:pt>
                <c:pt idx="82">
                  <c:v>647.98105796915502</c:v>
                </c:pt>
                <c:pt idx="83">
                  <c:v>649.87042694992761</c:v>
                </c:pt>
                <c:pt idx="84">
                  <c:v>651.75747955317843</c:v>
                </c:pt>
                <c:pt idx="85">
                  <c:v>653.64209669501372</c:v>
                </c:pt>
                <c:pt idx="86">
                  <c:v>655.52415967629292</c:v>
                </c:pt>
                <c:pt idx="87">
                  <c:v>657.40355018212347</c:v>
                </c:pt>
                <c:pt idx="88">
                  <c:v>659.28015028127641</c:v>
                </c:pt>
                <c:pt idx="89">
                  <c:v>661.1538515192068</c:v>
                </c:pt>
                <c:pt idx="90">
                  <c:v>663.02456398013078</c:v>
                </c:pt>
                <c:pt idx="91">
                  <c:v>664.89220713015084</c:v>
                </c:pt>
                <c:pt idx="92">
                  <c:v>666.7567006911047</c:v>
                </c:pt>
                <c:pt idx="93">
                  <c:v>668.61796691311338</c:v>
                </c:pt>
                <c:pt idx="94">
                  <c:v>670.47593283928597</c:v>
                </c:pt>
                <c:pt idx="95">
                  <c:v>672.33052801527538</c:v>
                </c:pt>
                <c:pt idx="96">
                  <c:v>674.18168220664199</c:v>
                </c:pt>
                <c:pt idx="97">
                  <c:v>676.02933449238003</c:v>
                </c:pt>
                <c:pt idx="98">
                  <c:v>677.87344232687974</c:v>
                </c:pt>
                <c:pt idx="99">
                  <c:v>679.71397238116106</c:v>
                </c:pt>
                <c:pt idx="100">
                  <c:v>681.5508914158836</c:v>
                </c:pt>
                <c:pt idx="101">
                  <c:v>683.38416628063533</c:v>
                </c:pt>
                <c:pt idx="102">
                  <c:v>685.21376391321951</c:v>
                </c:pt>
                <c:pt idx="103">
                  <c:v>687.03965133894042</c:v>
                </c:pt>
                <c:pt idx="104">
                  <c:v>688.86179566988733</c:v>
                </c:pt>
                <c:pt idx="105">
                  <c:v>690.68016410421751</c:v>
                </c:pt>
                <c:pt idx="106">
                  <c:v>692.49472392543805</c:v>
                </c:pt>
                <c:pt idx="107">
                  <c:v>694.30544250168589</c:v>
                </c:pt>
                <c:pt idx="108">
                  <c:v>696.11228728500714</c:v>
                </c:pt>
                <c:pt idx="109">
                  <c:v>697.91523717679945</c:v>
                </c:pt>
                <c:pt idx="110">
                  <c:v>699.7142938537495</c:v>
                </c:pt>
                <c:pt idx="111">
                  <c:v>701.50947032298427</c:v>
                </c:pt>
                <c:pt idx="112">
                  <c:v>703.30077951737087</c:v>
                </c:pt>
                <c:pt idx="113">
                  <c:v>705.0882342960798</c:v>
                </c:pt>
                <c:pt idx="114">
                  <c:v>706.87184744514286</c:v>
                </c:pt>
                <c:pt idx="115">
                  <c:v>708.65163167800574</c:v>
                </c:pt>
                <c:pt idx="116">
                  <c:v>710.42759963607534</c:v>
                </c:pt>
                <c:pt idx="117">
                  <c:v>712.19976388926204</c:v>
                </c:pt>
                <c:pt idx="118">
                  <c:v>713.96813693651632</c:v>
                </c:pt>
                <c:pt idx="119">
                  <c:v>715.73273120636122</c:v>
                </c:pt>
                <c:pt idx="120">
                  <c:v>717.49355905741902</c:v>
                </c:pt>
                <c:pt idx="121">
                  <c:v>719.2506327789331</c:v>
                </c:pt>
                <c:pt idx="122">
                  <c:v>721.00396459128535</c:v>
                </c:pt>
                <c:pt idx="123">
                  <c:v>722.75356664650815</c:v>
                </c:pt>
                <c:pt idx="124">
                  <c:v>724.49945102879201</c:v>
                </c:pt>
                <c:pt idx="125">
                  <c:v>726.24162975498814</c:v>
                </c:pt>
                <c:pt idx="126">
                  <c:v>727.98011477510659</c:v>
                </c:pt>
                <c:pt idx="127">
                  <c:v>729.71491797280953</c:v>
                </c:pt>
                <c:pt idx="128">
                  <c:v>731.44605116590037</c:v>
                </c:pt>
                <c:pt idx="129">
                  <c:v>733.1735261068078</c:v>
                </c:pt>
                <c:pt idx="130">
                  <c:v>734.89735448306567</c:v>
                </c:pt>
                <c:pt idx="131">
                  <c:v>736.61754791778844</c:v>
                </c:pt>
                <c:pt idx="132">
                  <c:v>738.3341179701423</c:v>
                </c:pt>
                <c:pt idx="133">
                  <c:v>740.04707613581149</c:v>
                </c:pt>
                <c:pt idx="134">
                  <c:v>741.75643384746127</c:v>
                </c:pt>
                <c:pt idx="135">
                  <c:v>743.46220247519568</c:v>
                </c:pt>
                <c:pt idx="136">
                  <c:v>745.16439332701157</c:v>
                </c:pt>
                <c:pt idx="137">
                  <c:v>746.86301764924883</c:v>
                </c:pt>
                <c:pt idx="138">
                  <c:v>748.55808662703555</c:v>
                </c:pt>
                <c:pt idx="139">
                  <c:v>750.24961138473031</c:v>
                </c:pt>
                <c:pt idx="140">
                  <c:v>751.93760298635937</c:v>
                </c:pt>
                <c:pt idx="141">
                  <c:v>753.62207243605087</c:v>
                </c:pt>
                <c:pt idx="142">
                  <c:v>755.30303067846421</c:v>
                </c:pt>
                <c:pt idx="143">
                  <c:v>756.9804885992163</c:v>
                </c:pt>
                <c:pt idx="144">
                  <c:v>758.6544570253036</c:v>
                </c:pt>
                <c:pt idx="145">
                  <c:v>760.32494672552025</c:v>
                </c:pt>
                <c:pt idx="146">
                  <c:v>761.9919684108728</c:v>
                </c:pt>
                <c:pt idx="147">
                  <c:v>763.65553273499086</c:v>
                </c:pt>
                <c:pt idx="148">
                  <c:v>765.31565029453463</c:v>
                </c:pt>
                <c:pt idx="149">
                  <c:v>766.9723316295981</c:v>
                </c:pt>
                <c:pt idx="150">
                  <c:v>768.62558722410893</c:v>
                </c:pt>
                <c:pt idx="151">
                  <c:v>770.27542750622513</c:v>
                </c:pt>
                <c:pt idx="152">
                  <c:v>771.92186284872776</c:v>
                </c:pt>
                <c:pt idx="153">
                  <c:v>773.56490356941026</c:v>
                </c:pt>
                <c:pt idx="154">
                  <c:v>775.20455993146459</c:v>
                </c:pt>
                <c:pt idx="155">
                  <c:v>776.84084214386348</c:v>
                </c:pt>
                <c:pt idx="156">
                  <c:v>778.47376036173966</c:v>
                </c:pt>
                <c:pt idx="157">
                  <c:v>780.10332468676199</c:v>
                </c:pt>
                <c:pt idx="158">
                  <c:v>781.72954516750758</c:v>
                </c:pt>
                <c:pt idx="159">
                  <c:v>783.35243179983115</c:v>
                </c:pt>
                <c:pt idx="160">
                  <c:v>784.97199452723135</c:v>
                </c:pt>
                <c:pt idx="161">
                  <c:v>786.58824324121304</c:v>
                </c:pt>
                <c:pt idx="162">
                  <c:v>788.2011877816476</c:v>
                </c:pt>
                <c:pt idx="163">
                  <c:v>789.81083793712889</c:v>
                </c:pt>
                <c:pt idx="164">
                  <c:v>791.417203445327</c:v>
                </c:pt>
                <c:pt idx="165">
                  <c:v>793.02029399333867</c:v>
                </c:pt>
                <c:pt idx="166">
                  <c:v>794.62011921803446</c:v>
                </c:pt>
                <c:pt idx="167">
                  <c:v>796.21668870640315</c:v>
                </c:pt>
                <c:pt idx="168">
                  <c:v>797.81001199589298</c:v>
                </c:pt>
                <c:pt idx="169">
                  <c:v>799.40009857475036</c:v>
                </c:pt>
                <c:pt idx="170">
                  <c:v>800.98695788235523</c:v>
                </c:pt>
                <c:pt idx="171">
                  <c:v>802.57059930955359</c:v>
                </c:pt>
                <c:pt idx="172">
                  <c:v>804.15103219898754</c:v>
                </c:pt>
                <c:pt idx="173">
                  <c:v>805.7282658454219</c:v>
                </c:pt>
                <c:pt idx="174">
                  <c:v>807.3023094960688</c:v>
                </c:pt>
                <c:pt idx="175">
                  <c:v>808.8731723509087</c:v>
                </c:pt>
                <c:pt idx="176">
                  <c:v>810.44086356300943</c:v>
                </c:pt>
                <c:pt idx="177">
                  <c:v>812.00539223884175</c:v>
                </c:pt>
                <c:pt idx="178">
                  <c:v>813.56676743859316</c:v>
                </c:pt>
                <c:pt idx="179">
                  <c:v>815.12499817647802</c:v>
                </c:pt>
                <c:pt idx="180">
                  <c:v>816.68009342104597</c:v>
                </c:pt>
                <c:pt idx="181">
                  <c:v>818.23206209548709</c:v>
                </c:pt>
                <c:pt idx="182">
                  <c:v>819.78091307793477</c:v>
                </c:pt>
                <c:pt idx="183">
                  <c:v>821.32665520176624</c:v>
                </c:pt>
                <c:pt idx="184">
                  <c:v>822.86929725590016</c:v>
                </c:pt>
                <c:pt idx="185">
                  <c:v>824.40884798509182</c:v>
                </c:pt>
                <c:pt idx="186">
                  <c:v>825.94531609022613</c:v>
                </c:pt>
                <c:pt idx="187">
                  <c:v>827.47871022860784</c:v>
                </c:pt>
                <c:pt idx="188">
                  <c:v>829.00903901424977</c:v>
                </c:pt>
                <c:pt idx="189">
                  <c:v>830.53631101815802</c:v>
                </c:pt>
                <c:pt idx="190">
                  <c:v>832.0605347686153</c:v>
                </c:pt>
                <c:pt idx="191">
                  <c:v>833.58171875146195</c:v>
                </c:pt>
                <c:pt idx="192">
                  <c:v>835.09987141037402</c:v>
                </c:pt>
                <c:pt idx="193">
                  <c:v>836.61500114713988</c:v>
                </c:pt>
                <c:pt idx="194">
                  <c:v>838.12711632193384</c:v>
                </c:pt>
                <c:pt idx="195">
                  <c:v>839.63622525358812</c:v>
                </c:pt>
                <c:pt idx="196">
                  <c:v>841.14233621986205</c:v>
                </c:pt>
                <c:pt idx="197">
                  <c:v>842.64545745770943</c:v>
                </c:pt>
                <c:pt idx="198">
                  <c:v>844.14559716354347</c:v>
                </c:pt>
                <c:pt idx="199">
                  <c:v>845.64276349349961</c:v>
                </c:pt>
                <c:pt idx="200">
                  <c:v>847.13696456369655</c:v>
                </c:pt>
                <c:pt idx="201">
                  <c:v>861.91651145098501</c:v>
                </c:pt>
                <c:pt idx="202">
                  <c:v>876.40471072443597</c:v>
                </c:pt>
                <c:pt idx="203">
                  <c:v>890.60930823471767</c:v>
                </c:pt>
                <c:pt idx="204">
                  <c:v>904.53768176716221</c:v>
                </c:pt>
                <c:pt idx="205">
                  <c:v>918.19686378102733</c:v>
                </c:pt>
                <c:pt idx="206">
                  <c:v>931.59356239756562</c:v>
                </c:pt>
                <c:pt idx="207">
                  <c:v>944.73418079687815</c:v>
                </c:pt>
                <c:pt idx="208">
                  <c:v>957.62483516666873</c:v>
                </c:pt>
                <c:pt idx="209">
                  <c:v>970.27137133116059</c:v>
                </c:pt>
                <c:pt idx="210">
                  <c:v>982.67938017532163</c:v>
                </c:pt>
                <c:pt idx="211">
                  <c:v>994.85421196794755</c:v>
                </c:pt>
                <c:pt idx="212">
                  <c:v>1006.8009896768708</c:v>
                </c:pt>
                <c:pt idx="213">
                  <c:v>1018.5246213604394</c:v>
                </c:pt>
                <c:pt idx="214">
                  <c:v>1030.0298117112916</c:v>
                </c:pt>
                <c:pt idx="215">
                  <c:v>1041.3210728212212</c:v>
                </c:pt>
                <c:pt idx="216">
                  <c:v>1052.4027342294735</c:v>
                </c:pt>
                <c:pt idx="217">
                  <c:v>1063.2789523110446</c:v>
                </c:pt>
                <c:pt idx="218">
                  <c:v>1073.9537190563881</c:v>
                </c:pt>
                <c:pt idx="219">
                  <c:v>1084.4308702893049</c:v>
                </c:pt>
                <c:pt idx="220">
                  <c:v>1094.7140933656283</c:v>
                </c:pt>
                <c:pt idx="221">
                  <c:v>1104.8069343915781</c:v>
                </c:pt>
                <c:pt idx="222">
                  <c:v>1114.7128049972871</c:v>
                </c:pt>
                <c:pt idx="223">
                  <c:v>1124.4349886979628</c:v>
                </c:pt>
                <c:pt idx="224">
                  <c:v>1133.9766468724047</c:v>
                </c:pt>
                <c:pt idx="225">
                  <c:v>1143.3408243861154</c:v>
                </c:pt>
                <c:pt idx="226">
                  <c:v>1152.5304548839938</c:v>
                </c:pt>
                <c:pt idx="227">
                  <c:v>1161.5483657755656</c:v>
                </c:pt>
                <c:pt idx="228">
                  <c:v>1170.3972829338527</c:v>
                </c:pt>
                <c:pt idx="229">
                  <c:v>1179.0798351273077</c:v>
                </c:pt>
                <c:pt idx="230">
                  <c:v>1187.5985582027042</c:v>
                </c:pt>
                <c:pt idx="231">
                  <c:v>1195.9558990354885</c:v>
                </c:pt>
                <c:pt idx="232">
                  <c:v>1204.1542192628228</c:v>
                </c:pt>
                <c:pt idx="233">
                  <c:v>1212.1957988133934</c:v>
                </c:pt>
                <c:pt idx="234">
                  <c:v>1220.0828392469994</c:v>
                </c:pt>
                <c:pt idx="235">
                  <c:v>1227.8174669159669</c:v>
                </c:pt>
                <c:pt idx="236">
                  <c:v>1235.4017359595475</c:v>
                </c:pt>
                <c:pt idx="237">
                  <c:v>1242.8376311416487</c:v>
                </c:pt>
                <c:pt idx="238">
                  <c:v>1250.1270705414959</c:v>
                </c:pt>
                <c:pt idx="239">
                  <c:v>1257.2719081061441</c:v>
                </c:pt>
                <c:pt idx="240">
                  <c:v>1264.2739360731264</c:v>
                </c:pt>
                <c:pt idx="241">
                  <c:v>1271.1348872709498</c:v>
                </c:pt>
                <c:pt idx="242">
                  <c:v>1277.8564373046145</c:v>
                </c:pt>
                <c:pt idx="243">
                  <c:v>1284.4402066328453</c:v>
                </c:pt>
                <c:pt idx="244">
                  <c:v>1290.8877625432706</c:v>
                </c:pt>
                <c:pt idx="245">
                  <c:v>1297.2006210313668</c:v>
                </c:pt>
                <c:pt idx="246">
                  <c:v>1303.3802485886022</c:v>
                </c:pt>
                <c:pt idx="247">
                  <c:v>1309.4280639048604</c:v>
                </c:pt>
                <c:pt idx="248">
                  <c:v>1315.3454394898936</c:v>
                </c:pt>
                <c:pt idx="249">
                  <c:v>1321.1337032182519</c:v>
                </c:pt>
                <c:pt idx="250">
                  <c:v>1326.7941398018568</c:v>
                </c:pt>
                <c:pt idx="251">
                  <c:v>1332.3279921941271</c:v>
                </c:pt>
                <c:pt idx="252">
                  <c:v>1337.7364629293234</c:v>
                </c:pt>
                <c:pt idx="253">
                  <c:v>1343.020715400557</c:v>
                </c:pt>
                <c:pt idx="254">
                  <c:v>1348.1818750797065</c:v>
                </c:pt>
                <c:pt idx="255">
                  <c:v>1353.2210306822901</c:v>
                </c:pt>
                <c:pt idx="256">
                  <c:v>1358.1392352801724</c:v>
                </c:pt>
                <c:pt idx="257">
                  <c:v>1362.9375073648184</c:v>
                </c:pt>
                <c:pt idx="258">
                  <c:v>1367.6168318636637</c:v>
                </c:pt>
                <c:pt idx="259">
                  <c:v>1372.1781611120282</c:v>
                </c:pt>
                <c:pt idx="260">
                  <c:v>1376.6224157828801</c:v>
                </c:pt>
                <c:pt idx="261">
                  <c:v>1380.9504857766406</c:v>
                </c:pt>
                <c:pt idx="262">
                  <c:v>1385.1632310731152</c:v>
                </c:pt>
                <c:pt idx="263">
                  <c:v>1389.2614825475503</c:v>
                </c:pt>
                <c:pt idx="264">
                  <c:v>1393.2460427527217</c:v>
                </c:pt>
                <c:pt idx="265">
                  <c:v>1397.1176866688968</c:v>
                </c:pt>
                <c:pt idx="266">
                  <c:v>1400.8771624234441</c:v>
                </c:pt>
                <c:pt idx="267">
                  <c:v>1404.5251919818138</c:v>
                </c:pt>
                <c:pt idx="268">
                  <c:v>1408.0624718115669</c:v>
                </c:pt>
                <c:pt idx="269">
                  <c:v>1411.4896735211021</c:v>
                </c:pt>
                <c:pt idx="270">
                  <c:v>1414.8074444747053</c:v>
                </c:pt>
                <c:pt idx="271">
                  <c:v>1418.0164083855402</c:v>
                </c:pt>
                <c:pt idx="272">
                  <c:v>1421.1171658881976</c:v>
                </c:pt>
                <c:pt idx="273">
                  <c:v>1424.1102950924433</c:v>
                </c:pt>
                <c:pt idx="274">
                  <c:v>1426.9963521198263</c:v>
                </c:pt>
                <c:pt idx="275">
                  <c:v>1429.775871624867</c:v>
                </c:pt>
                <c:pt idx="276">
                  <c:v>1432.4493673025966</c:v>
                </c:pt>
                <c:pt idx="277">
                  <c:v>1435.0173323843062</c:v>
                </c:pt>
                <c:pt idx="278">
                  <c:v>1437.480240123466</c:v>
                </c:pt>
                <c:pt idx="279">
                  <c:v>1439.8385442738902</c:v>
                </c:pt>
                <c:pt idx="280">
                  <c:v>1442.0926795623748</c:v>
                </c:pt>
                <c:pt idx="281">
                  <c:v>1444.2430621581937</c:v>
                </c:pt>
                <c:pt idx="282">
                  <c:v>1446.2900901420362</c:v>
                </c:pt>
                <c:pt idx="283">
                  <c:v>1448.2341439771728</c:v>
                </c:pt>
                <c:pt idx="284">
                  <c:v>1450.0755869858763</c:v>
                </c:pt>
                <c:pt idx="285">
                  <c:v>1451.8147658343685</c:v>
                </c:pt>
                <c:pt idx="286">
                  <c:v>1453.4520110298265</c:v>
                </c:pt>
                <c:pt idx="287">
                  <c:v>1454.9876374332403</c:v>
                </c:pt>
                <c:pt idx="288">
                  <c:v>1456.4219447921628</c:v>
                </c:pt>
                <c:pt idx="289">
                  <c:v>1457.7552182976133</c:v>
                </c:pt>
                <c:pt idx="290">
                  <c:v>1458.9877291695527</c:v>
                </c:pt>
                <c:pt idx="291">
                  <c:v>1460.119735275435</c:v>
                </c:pt>
                <c:pt idx="292">
                  <c:v>1461.1514817862901</c:v>
                </c:pt>
                <c:pt idx="293">
                  <c:v>1462.083201874603</c:v>
                </c:pt>
                <c:pt idx="294">
                  <c:v>1462.9151174578424</c:v>
                </c:pt>
                <c:pt idx="295">
                  <c:v>1463.6474399908566</c:v>
                </c:pt>
                <c:pt idx="296">
                  <c:v>1464.2803713094268</c:v>
                </c:pt>
                <c:pt idx="297">
                  <c:v>1464.8141045260568</c:v>
                </c:pt>
                <c:pt idx="298">
                  <c:v>1465.2488249775708</c:v>
                </c:pt>
                <c:pt idx="299">
                  <c:v>1465.5847112223169</c:v>
                </c:pt>
                <c:pt idx="300">
                  <c:v>1465.8219360828161</c:v>
                </c:pt>
                <c:pt idx="301">
                  <c:v>1465.9606677276442</c:v>
                </c:pt>
                <c:pt idx="302">
                  <c:v>1466.0010707843194</c:v>
                </c:pt>
                <c:pt idx="303">
                  <c:v>1465.9433074731642</c:v>
                </c:pt>
                <c:pt idx="304">
                  <c:v>1465.7875387506494</c:v>
                </c:pt>
                <c:pt idx="305">
                  <c:v>1465.5339254497608</c:v>
                </c:pt>
                <c:pt idx="306">
                  <c:v>1465.182629404547</c:v>
                </c:pt>
                <c:pt idx="307">
                  <c:v>1464.7338145462566</c:v>
                </c:pt>
                <c:pt idx="308">
                  <c:v>1464.1876479593079</c:v>
                </c:pt>
                <c:pt idx="309">
                  <c:v>1463.5443008867126</c:v>
                </c:pt>
                <c:pt idx="310">
                  <c:v>1462.8039496763211</c:v>
                </c:pt>
                <c:pt idx="311">
                  <c:v>1461.9667766612552</c:v>
                </c:pt>
                <c:pt idx="312">
                  <c:v>1461.0329709699633</c:v>
                </c:pt>
                <c:pt idx="313">
                  <c:v>1460.0027292633401</c:v>
                </c:pt>
                <c:pt idx="314">
                  <c:v>1458.8762563981816</c:v>
                </c:pt>
                <c:pt idx="315">
                  <c:v>1457.6537660178192</c:v>
                </c:pt>
                <c:pt idx="316">
                  <c:v>1456.3354810720582</c:v>
                </c:pt>
                <c:pt idx="317">
                  <c:v>1454.9216342695106</c:v>
                </c:pt>
                <c:pt idx="318">
                  <c:v>1453.4124684661058</c:v>
                </c:pt>
                <c:pt idx="319">
                  <c:v>1451.8082369939816</c:v>
                </c:pt>
                <c:pt idx="320">
                  <c:v>1450.1092039351695</c:v>
                </c:pt>
                <c:pt idx="321">
                  <c:v>1448.3156443445296</c:v>
                </c:pt>
                <c:pt idx="322">
                  <c:v>1446.4278444262925</c:v>
                </c:pt>
                <c:pt idx="323">
                  <c:v>1444.4461016683847</c:v>
                </c:pt>
                <c:pt idx="324">
                  <c:v>1442.370724938464</c:v>
                </c:pt>
                <c:pt idx="325">
                  <c:v>1440.202034545312</c:v>
                </c:pt>
                <c:pt idx="326">
                  <c:v>1437.9403622689326</c:v>
                </c:pt>
                <c:pt idx="327">
                  <c:v>1435.5860513624064</c:v>
                </c:pt>
                <c:pt idx="328">
                  <c:v>1433.1394565282619</c:v>
                </c:pt>
                <c:pt idx="329">
                  <c:v>1430.6009438718504</c:v>
                </c:pt>
                <c:pt idx="330">
                  <c:v>1427.9708908339576</c:v>
                </c:pt>
                <c:pt idx="331">
                  <c:v>1425.2496861046529</c:v>
                </c:pt>
                <c:pt idx="332">
                  <c:v>1422.4377295201671</c:v>
                </c:pt>
                <c:pt idx="333">
                  <c:v>1419.5354319443991</c:v>
                </c:pt>
                <c:pt idx="334">
                  <c:v>1416.5432151364894</c:v>
                </c:pt>
                <c:pt idx="335">
                  <c:v>1413.461511605745</c:v>
                </c:pt>
                <c:pt idx="336">
                  <c:v>1410.2907644550721</c:v>
                </c:pt>
                <c:pt idx="337">
                  <c:v>1407.0314272139569</c:v>
                </c:pt>
                <c:pt idx="338">
                  <c:v>1403.6839636619377</c:v>
                </c:pt>
                <c:pt idx="339">
                  <c:v>1400.2488476434173</c:v>
                </c:pt>
                <c:pt idx="340">
                  <c:v>1396.7265628745949</c:v>
                </c:pt>
                <c:pt idx="341">
                  <c:v>1393.1176027432225</c:v>
                </c:pt>
                <c:pt idx="342">
                  <c:v>1389.4224701018388</c:v>
                </c:pt>
                <c:pt idx="343">
                  <c:v>1385.6416770550761</c:v>
                </c:pt>
                <c:pt idx="344">
                  <c:v>1381.7757447415947</c:v>
                </c:pt>
                <c:pt idx="345">
                  <c:v>1377.8252031111583</c:v>
                </c:pt>
                <c:pt idx="346">
                  <c:v>1373.7905906973285</c:v>
                </c:pt>
                <c:pt idx="347">
                  <c:v>1369.6724543862269</c:v>
                </c:pt>
                <c:pt idx="348">
                  <c:v>1365.4713491817849</c:v>
                </c:pt>
                <c:pt idx="349">
                  <c:v>1361.187837967879</c:v>
                </c:pt>
                <c:pt idx="350">
                  <c:v>1356.8224912677242</c:v>
                </c:pt>
                <c:pt idx="351">
                  <c:v>1352.3758870008837</c:v>
                </c:pt>
                <c:pt idx="352">
                  <c:v>1347.8486102382299</c:v>
                </c:pt>
                <c:pt idx="353">
                  <c:v>1343.2412529551812</c:v>
                </c:pt>
                <c:pt idx="354">
                  <c:v>1338.5544137835193</c:v>
                </c:pt>
                <c:pt idx="355">
                  <c:v>1333.7886977620844</c:v>
                </c:pt>
                <c:pt idx="356">
                  <c:v>1328.9447160866268</c:v>
                </c:pt>
                <c:pt idx="357">
                  <c:v>1324.0230858590865</c:v>
                </c:pt>
                <c:pt idx="358">
                  <c:v>1319.0244298365599</c:v>
                </c:pt>
                <c:pt idx="359">
                  <c:v>1313.9493761802044</c:v>
                </c:pt>
                <c:pt idx="360">
                  <c:v>1308.7985582043175</c:v>
                </c:pt>
                <c:pt idx="361">
                  <c:v>1303.5726141258235</c:v>
                </c:pt>
                <c:pt idx="362">
                  <c:v>1298.2721868143885</c:v>
                </c:pt>
                <c:pt idx="363">
                  <c:v>1292.8979235433762</c:v>
                </c:pt>
                <c:pt idx="364">
                  <c:v>1287.4504757418517</c:v>
                </c:pt>
                <c:pt idx="365">
                  <c:v>1281.9304987478276</c:v>
                </c:pt>
                <c:pt idx="366">
                  <c:v>1276.3386515629445</c:v>
                </c:pt>
                <c:pt idx="367">
                  <c:v>1270.6755966087658</c:v>
                </c:pt>
                <c:pt idx="368">
                  <c:v>1264.9419994848622</c:v>
                </c:pt>
                <c:pt idx="369">
                  <c:v>1259.1385287288529</c:v>
                </c:pt>
                <c:pt idx="370">
                  <c:v>1253.2658555785631</c:v>
                </c:pt>
                <c:pt idx="371">
                  <c:v>1247.3246537364528</c:v>
                </c:pt>
                <c:pt idx="372">
                  <c:v>1241.315599136459</c:v>
                </c:pt>
                <c:pt idx="373">
                  <c:v>1235.2393697133962</c:v>
                </c:pt>
                <c:pt idx="374">
                  <c:v>1229.0966451750421</c:v>
                </c:pt>
                <c:pt idx="375">
                  <c:v>1222.8881067770401</c:v>
                </c:pt>
                <c:pt idx="376">
                  <c:v>1216.6144371007322</c:v>
                </c:pt>
                <c:pt idx="377">
                  <c:v>1210.2763198340401</c:v>
                </c:pt>
                <c:pt idx="378">
                  <c:v>1203.8744395554993</c:v>
                </c:pt>
                <c:pt idx="379">
                  <c:v>1197.4094815215456</c:v>
                </c:pt>
                <c:pt idx="380">
                  <c:v>1190.8821314571496</c:v>
                </c:pt>
                <c:pt idx="381">
                  <c:v>1184.293075349887</c:v>
                </c:pt>
                <c:pt idx="382">
                  <c:v>1177.6429992475246</c:v>
                </c:pt>
                <c:pt idx="383">
                  <c:v>1170.9325890592027</c:v>
                </c:pt>
                <c:pt idx="384">
                  <c:v>1164.1625303602784</c:v>
                </c:pt>
                <c:pt idx="385">
                  <c:v>1157.3335082008994</c:v>
                </c:pt>
                <c:pt idx="386">
                  <c:v>1150.4462069183635</c:v>
                </c:pt>
                <c:pt idx="387">
                  <c:v>1143.5013099533207</c:v>
                </c:pt>
                <c:pt idx="388">
                  <c:v>1136.499499669862</c:v>
                </c:pt>
                <c:pt idx="389">
                  <c:v>1129.4414571795412</c:v>
                </c:pt>
                <c:pt idx="390">
                  <c:v>1122.3278621693657</c:v>
                </c:pt>
                <c:pt idx="391">
                  <c:v>1115.1593927337885</c:v>
                </c:pt>
                <c:pt idx="392">
                  <c:v>1107.9367252107302</c:v>
                </c:pt>
                <c:pt idx="393">
                  <c:v>1100.6605340216531</c:v>
                </c:pt>
                <c:pt idx="394">
                  <c:v>1093.3314915157066</c:v>
                </c:pt>
                <c:pt idx="395">
                  <c:v>1085.9502678179549</c:v>
                </c:pt>
                <c:pt idx="396">
                  <c:v>1078.5175306817011</c:v>
                </c:pt>
                <c:pt idx="397">
                  <c:v>1071.0339453449076</c:v>
                </c:pt>
                <c:pt idx="398">
                  <c:v>1063.5001743907167</c:v>
                </c:pt>
                <c:pt idx="399">
                  <c:v>1055.9168776120684</c:v>
                </c:pt>
                <c:pt idx="400">
                  <c:v>1048.2847118804068</c:v>
                </c:pt>
                <c:pt idx="401">
                  <c:v>1040.6043310184652</c:v>
                </c:pt>
                <c:pt idx="402">
                  <c:v>1032.876385677117</c:v>
                </c:pt>
                <c:pt idx="403">
                  <c:v>1025.1015232162724</c:v>
                </c:pt>
                <c:pt idx="404">
                  <c:v>1017.2803875898013</c:v>
                </c:pt>
                <c:pt idx="405">
                  <c:v>1009.4136192344587</c:v>
                </c:pt>
                <c:pt idx="406">
                  <c:v>1001.5018549627836</c:v>
                </c:pt>
                <c:pt idx="407">
                  <c:v>993.54572785994355</c:v>
                </c:pt>
                <c:pt idx="408">
                  <c:v>985.54586718449036</c:v>
                </c:pt>
                <c:pt idx="409">
                  <c:v>977.50289827299241</c:v>
                </c:pt>
                <c:pt idx="410">
                  <c:v>969.4174424485052</c:v>
                </c:pt>
                <c:pt idx="411">
                  <c:v>961.29011693284019</c:v>
                </c:pt>
                <c:pt idx="412">
                  <c:v>953.12153476258914</c:v>
                </c:pt>
                <c:pt idx="413">
                  <c:v>944.91230470885955</c:v>
                </c:pt>
                <c:pt idx="414">
                  <c:v>936.66303120067471</c:v>
                </c:pt>
                <c:pt idx="415">
                  <c:v>928.3743142519894</c:v>
                </c:pt>
                <c:pt idx="416">
                  <c:v>920.04674939227209</c:v>
                </c:pt>
                <c:pt idx="417">
                  <c:v>911.68092760060051</c:v>
                </c:pt>
                <c:pt idx="418">
                  <c:v>903.27743524321897</c:v>
                </c:pt>
                <c:pt idx="419">
                  <c:v>894.83685401450157</c:v>
                </c:pt>
                <c:pt idx="420">
                  <c:v>886.35976088126597</c:v>
                </c:pt>
                <c:pt idx="421">
                  <c:v>877.84672803038086</c:v>
                </c:pt>
                <c:pt idx="422">
                  <c:v>869.29832281960842</c:v>
                </c:pt>
                <c:pt idx="423">
                  <c:v>860.71510773162379</c:v>
                </c:pt>
                <c:pt idx="424">
                  <c:v>852.09764033115061</c:v>
                </c:pt>
                <c:pt idx="425">
                  <c:v>843.44647322515334</c:v>
                </c:pt>
                <c:pt idx="426">
                  <c:v>834.76215402602361</c:v>
                </c:pt>
                <c:pt idx="427">
                  <c:v>826.04522531770033</c:v>
                </c:pt>
                <c:pt idx="428">
                  <c:v>817.29622462466045</c:v>
                </c:pt>
                <c:pt idx="429">
                  <c:v>808.51568438371839</c:v>
                </c:pt>
                <c:pt idx="430">
                  <c:v>799.70413191857006</c:v>
                </c:pt>
                <c:pt idx="431">
                  <c:v>790.86208941702012</c:v>
                </c:pt>
                <c:pt idx="432">
                  <c:v>781.99007391082785</c:v>
                </c:pt>
                <c:pt idx="433">
                  <c:v>773.08859725810896</c:v>
                </c:pt>
                <c:pt idx="434">
                  <c:v>764.15816612822994</c:v>
                </c:pt>
                <c:pt idx="435">
                  <c:v>755.19928198913135</c:v>
                </c:pt>
                <c:pt idx="436">
                  <c:v>746.21244109701797</c:v>
                </c:pt>
                <c:pt idx="437">
                  <c:v>737.1981344883518</c:v>
                </c:pt>
                <c:pt idx="438">
                  <c:v>728.15684797408596</c:v>
                </c:pt>
                <c:pt idx="439">
                  <c:v>719.08906213607725</c:v>
                </c:pt>
                <c:pt idx="440">
                  <c:v>709.99525232561496</c:v>
                </c:pt>
                <c:pt idx="441">
                  <c:v>700.87588866400472</c:v>
                </c:pt>
                <c:pt idx="442">
                  <c:v>691.73143604514667</c:v>
                </c:pt>
                <c:pt idx="443">
                  <c:v>682.56235414004698</c:v>
                </c:pt>
                <c:pt idx="444">
                  <c:v>673.369097403203</c:v>
                </c:pt>
                <c:pt idx="445">
                  <c:v>664.15211508080245</c:v>
                </c:pt>
                <c:pt idx="446">
                  <c:v>654.91185122067816</c:v>
                </c:pt>
                <c:pt idx="447">
                  <c:v>645.64874468396067</c:v>
                </c:pt>
                <c:pt idx="448">
                  <c:v>636.36322915837013</c:v>
                </c:pt>
                <c:pt idx="449">
                  <c:v>627.05573317309222</c:v>
                </c:pt>
                <c:pt idx="450">
                  <c:v>617.72668011518169</c:v>
                </c:pt>
                <c:pt idx="451">
                  <c:v>608.37648824743826</c:v>
                </c:pt>
                <c:pt idx="452">
                  <c:v>599.00557072770096</c:v>
                </c:pt>
                <c:pt idx="453">
                  <c:v>589.61433562950685</c:v>
                </c:pt>
                <c:pt idx="454">
                  <c:v>580.20318596406298</c:v>
                </c:pt>
                <c:pt idx="455">
                  <c:v>570.77251970347777</c:v>
                </c:pt>
                <c:pt idx="456">
                  <c:v>561.32272980520293</c:v>
                </c:pt>
                <c:pt idx="457">
                  <c:v>551.85420423763514</c:v>
                </c:pt>
                <c:pt idx="458">
                  <c:v>542.36732600682797</c:v>
                </c:pt>
                <c:pt idx="459">
                  <c:v>532.86247318426695</c:v>
                </c:pt>
                <c:pt idx="460">
                  <c:v>523.34001893566017</c:v>
                </c:pt>
                <c:pt idx="461">
                  <c:v>513.80033155069805</c:v>
                </c:pt>
                <c:pt idx="462">
                  <c:v>504.24377447373695</c:v>
                </c:pt>
                <c:pt idx="463">
                  <c:v>494.67070633536287</c:v>
                </c:pt>
                <c:pt idx="464">
                  <c:v>485.08148098479109</c:v>
                </c:pt>
                <c:pt idx="465">
                  <c:v>475.47644752305979</c:v>
                </c:pt>
                <c:pt idx="466">
                  <c:v>465.85595033697609</c:v>
                </c:pt>
                <c:pt idx="467">
                  <c:v>456.22032913377387</c:v>
                </c:pt>
                <c:pt idx="468">
                  <c:v>446.56991897644383</c:v>
                </c:pt>
                <c:pt idx="469">
                  <c:v>436.90505031969741</c:v>
                </c:pt>
                <c:pt idx="470">
                  <c:v>427.22604904652644</c:v>
                </c:pt>
                <c:pt idx="471">
                  <c:v>417.53323650532229</c:v>
                </c:pt>
                <c:pt idx="472">
                  <c:v>407.82692954751826</c:v>
                </c:pt>
                <c:pt idx="473">
                  <c:v>398.10744056572059</c:v>
                </c:pt>
                <c:pt idx="474">
                  <c:v>388.37507753229437</c:v>
                </c:pt>
                <c:pt idx="475">
                  <c:v>378.63014403837076</c:v>
                </c:pt>
                <c:pt idx="476">
                  <c:v>368.87293933324389</c:v>
                </c:pt>
                <c:pt idx="477">
                  <c:v>359.10375836412595</c:v>
                </c:pt>
                <c:pt idx="478">
                  <c:v>349.32289181623037</c:v>
                </c:pt>
                <c:pt idx="479">
                  <c:v>339.53062615315338</c:v>
                </c:pt>
                <c:pt idx="480">
                  <c:v>329.72724365752566</c:v>
                </c:pt>
                <c:pt idx="481">
                  <c:v>319.91302247190595</c:v>
                </c:pt>
                <c:pt idx="482">
                  <c:v>310.08823663989028</c:v>
                </c:pt>
                <c:pt idx="483">
                  <c:v>300.25315614741021</c:v>
                </c:pt>
                <c:pt idx="484">
                  <c:v>290.40804696419548</c:v>
                </c:pt>
                <c:pt idx="485">
                  <c:v>280.55317108537588</c:v>
                </c:pt>
                <c:pt idx="486">
                  <c:v>270.68878657319954</c:v>
                </c:pt>
                <c:pt idx="487">
                  <c:v>260.81514759884436</c:v>
                </c:pt>
                <c:pt idx="488">
                  <c:v>250.93250448430032</c:v>
                </c:pt>
                <c:pt idx="489">
                  <c:v>241.04110374430212</c:v>
                </c:pt>
                <c:pt idx="490">
                  <c:v>231.14118812829062</c:v>
                </c:pt>
                <c:pt idx="491">
                  <c:v>221.23299666238418</c:v>
                </c:pt>
                <c:pt idx="492">
                  <c:v>211.31676469133998</c:v>
                </c:pt>
                <c:pt idx="493">
                  <c:v>201.39272392048758</c:v>
                </c:pt>
                <c:pt idx="494">
                  <c:v>191.46110245761648</c:v>
                </c:pt>
                <c:pt idx="495">
                  <c:v>181.52212485480092</c:v>
                </c:pt>
                <c:pt idx="496">
                  <c:v>171.57601215014552</c:v>
                </c:pt>
                <c:pt idx="497">
                  <c:v>161.62298190943582</c:v>
                </c:pt>
                <c:pt idx="498">
                  <c:v>151.66324826767874</c:v>
                </c:pt>
                <c:pt idx="499">
                  <c:v>141.69702197051851</c:v>
                </c:pt>
                <c:pt idx="500">
                  <c:v>131.72451041551403</c:v>
                </c:pt>
                <c:pt idx="501">
                  <c:v>121.74591769326445</c:v>
                </c:pt>
                <c:pt idx="502">
                  <c:v>111.76144462837017</c:v>
                </c:pt>
                <c:pt idx="503">
                  <c:v>101.77128882021724</c:v>
                </c:pt>
                <c:pt idx="504">
                  <c:v>91.775644683573162</c:v>
                </c:pt>
                <c:pt idx="505">
                  <c:v>81.774703488983505</c:v>
                </c:pt>
                <c:pt idx="506">
                  <c:v>71.768653402958307</c:v>
                </c:pt>
                <c:pt idx="507">
                  <c:v>61.757679527938492</c:v>
                </c:pt>
                <c:pt idx="508">
                  <c:v>51.741963942032513</c:v>
                </c:pt>
                <c:pt idx="509">
                  <c:v>41.721685738514282</c:v>
                </c:pt>
                <c:pt idx="510">
                  <c:v>31.69702106507367</c:v>
                </c:pt>
                <c:pt idx="511">
                  <c:v>21.668143162811401</c:v>
                </c:pt>
                <c:pt idx="512">
                  <c:v>11.635222404970609</c:v>
                </c:pt>
                <c:pt idx="513">
                  <c:v>1.5984263353977717</c:v>
                </c:pt>
                <c:pt idx="514">
                  <c:v>-8.4420802932739214</c:v>
                </c:pt>
                <c:pt idx="515">
                  <c:v>-8.4521226160746306</c:v>
                </c:pt>
                <c:pt idx="516">
                  <c:v>-8.4621649423435041</c:v>
                </c:pt>
                <c:pt idx="517">
                  <c:v>-8.472207272080384</c:v>
                </c:pt>
                <c:pt idx="518">
                  <c:v>-8.482249605285114</c:v>
                </c:pt>
                <c:pt idx="519">
                  <c:v>-8.4922919419575358</c:v>
                </c:pt>
                <c:pt idx="520">
                  <c:v>-8.5023342820974914</c:v>
                </c:pt>
                <c:pt idx="521">
                  <c:v>-8.5123766257048228</c:v>
                </c:pt>
                <c:pt idx="522">
                  <c:v>-8.5224189727793718</c:v>
                </c:pt>
                <c:pt idx="523">
                  <c:v>-8.5324613233209821</c:v>
                </c:pt>
                <c:pt idx="524">
                  <c:v>-8.5425036773294938</c:v>
                </c:pt>
                <c:pt idx="525">
                  <c:v>-8.5525460348047506</c:v>
                </c:pt>
                <c:pt idx="526">
                  <c:v>-8.5625883957465945</c:v>
                </c:pt>
                <c:pt idx="527">
                  <c:v>-8.5726307601548672</c:v>
                </c:pt>
                <c:pt idx="528">
                  <c:v>-8.5826731280294126</c:v>
                </c:pt>
                <c:pt idx="529">
                  <c:v>-8.5927154993700725</c:v>
                </c:pt>
                <c:pt idx="530">
                  <c:v>-8.602757874176687</c:v>
                </c:pt>
                <c:pt idx="531">
                  <c:v>-8.6128002524490999</c:v>
                </c:pt>
                <c:pt idx="532">
                  <c:v>-8.6228426341871547</c:v>
                </c:pt>
                <c:pt idx="533">
                  <c:v>-8.6328850193906916</c:v>
                </c:pt>
                <c:pt idx="534">
                  <c:v>-8.6429274080595544</c:v>
                </c:pt>
                <c:pt idx="535">
                  <c:v>-8.6529698001935831</c:v>
                </c:pt>
                <c:pt idx="536">
                  <c:v>-8.6630121957926232</c:v>
                </c:pt>
                <c:pt idx="537">
                  <c:v>-8.6730545948565148</c:v>
                </c:pt>
                <c:pt idx="538">
                  <c:v>-8.6830969973850998</c:v>
                </c:pt>
                <c:pt idx="539">
                  <c:v>-8.6931394033782219</c:v>
                </c:pt>
                <c:pt idx="540">
                  <c:v>-8.703181812835723</c:v>
                </c:pt>
                <c:pt idx="541">
                  <c:v>-8.713224225757445</c:v>
                </c:pt>
                <c:pt idx="542">
                  <c:v>-8.7232666421432299</c:v>
                </c:pt>
                <c:pt idx="543">
                  <c:v>-8.7333090619929212</c:v>
                </c:pt>
                <c:pt idx="544">
                  <c:v>-8.7433514853063592</c:v>
                </c:pt>
                <c:pt idx="545">
                  <c:v>-8.7533939120833875</c:v>
                </c:pt>
                <c:pt idx="546">
                  <c:v>-8.7634363423238479</c:v>
                </c:pt>
                <c:pt idx="547">
                  <c:v>-8.7734787760275843</c:v>
                </c:pt>
                <c:pt idx="548">
                  <c:v>-8.7835212131944367</c:v>
                </c:pt>
                <c:pt idx="549">
                  <c:v>-8.7935636538242488</c:v>
                </c:pt>
                <c:pt idx="550">
                  <c:v>-8.8036060979168624</c:v>
                </c:pt>
                <c:pt idx="551">
                  <c:v>-8.8136485454721196</c:v>
                </c:pt>
                <c:pt idx="552">
                  <c:v>-8.823690996489864</c:v>
                </c:pt>
                <c:pt idx="553">
                  <c:v>-8.8337334509699375</c:v>
                </c:pt>
                <c:pt idx="554">
                  <c:v>-8.8437759089121819</c:v>
                </c:pt>
                <c:pt idx="555">
                  <c:v>-8.8538183703164393</c:v>
                </c:pt>
                <c:pt idx="556">
                  <c:v>-8.8638608351825514</c:v>
                </c:pt>
                <c:pt idx="557">
                  <c:v>-8.8739033035103621</c:v>
                </c:pt>
                <c:pt idx="558">
                  <c:v>-8.8839457752997131</c:v>
                </c:pt>
                <c:pt idx="559">
                  <c:v>-8.8939882505504464</c:v>
                </c:pt>
                <c:pt idx="560">
                  <c:v>-8.9040307292624039</c:v>
                </c:pt>
                <c:pt idx="561">
                  <c:v>-8.9140732114354293</c:v>
                </c:pt>
                <c:pt idx="562">
                  <c:v>-8.9241156970693645</c:v>
                </c:pt>
                <c:pt idx="563">
                  <c:v>-8.9341581861640513</c:v>
                </c:pt>
                <c:pt idx="564">
                  <c:v>-8.9442006787193318</c:v>
                </c:pt>
                <c:pt idx="565">
                  <c:v>-8.9542431747350495</c:v>
                </c:pt>
                <c:pt idx="566">
                  <c:v>-8.9642856742110464</c:v>
                </c:pt>
                <c:pt idx="567">
                  <c:v>-8.9743281771471644</c:v>
                </c:pt>
                <c:pt idx="568">
                  <c:v>-8.9843706835432453</c:v>
                </c:pt>
                <c:pt idx="569">
                  <c:v>-8.9944131933991329</c:v>
                </c:pt>
                <c:pt idx="570">
                  <c:v>-9.0044557067146691</c:v>
                </c:pt>
                <c:pt idx="571">
                  <c:v>-9.0144982234896958</c:v>
                </c:pt>
                <c:pt idx="572">
                  <c:v>-9.0245407437240548</c:v>
                </c:pt>
                <c:pt idx="573">
                  <c:v>-9.0345832674175899</c:v>
                </c:pt>
                <c:pt idx="574">
                  <c:v>-9.0446257945701429</c:v>
                </c:pt>
                <c:pt idx="575">
                  <c:v>-9.0546683251815558</c:v>
                </c:pt>
                <c:pt idx="576">
                  <c:v>-9.0647108592516705</c:v>
                </c:pt>
                <c:pt idx="577">
                  <c:v>-9.0747533967803307</c:v>
                </c:pt>
                <c:pt idx="578">
                  <c:v>-9.0847959377673781</c:v>
                </c:pt>
                <c:pt idx="579">
                  <c:v>-9.0948384822126549</c:v>
                </c:pt>
                <c:pt idx="580">
                  <c:v>-9.1048810301160046</c:v>
                </c:pt>
                <c:pt idx="581">
                  <c:v>-9.1149235814772673</c:v>
                </c:pt>
                <c:pt idx="582">
                  <c:v>-9.1249661362962868</c:v>
                </c:pt>
                <c:pt idx="583">
                  <c:v>-9.1350086945729068</c:v>
                </c:pt>
                <c:pt idx="584">
                  <c:v>-9.1450512563069672</c:v>
                </c:pt>
                <c:pt idx="585">
                  <c:v>-9.155093821498312</c:v>
                </c:pt>
                <c:pt idx="586">
                  <c:v>-9.1651363901467828</c:v>
                </c:pt>
                <c:pt idx="587">
                  <c:v>-9.1751789622522235</c:v>
                </c:pt>
                <c:pt idx="588">
                  <c:v>-9.1852215378144741</c:v>
                </c:pt>
                <c:pt idx="589">
                  <c:v>-9.1952641168333784</c:v>
                </c:pt>
                <c:pt idx="590">
                  <c:v>-9.20530669930878</c:v>
                </c:pt>
                <c:pt idx="591">
                  <c:v>-9.215349285240519</c:v>
                </c:pt>
                <c:pt idx="592">
                  <c:v>-9.2253918746284391</c:v>
                </c:pt>
                <c:pt idx="593">
                  <c:v>-9.2354344674723823</c:v>
                </c:pt>
                <c:pt idx="594">
                  <c:v>-9.2454770637721904</c:v>
                </c:pt>
                <c:pt idx="595">
                  <c:v>-9.2555196635277071</c:v>
                </c:pt>
                <c:pt idx="596">
                  <c:v>-9.2655622667387743</c:v>
                </c:pt>
                <c:pt idx="597">
                  <c:v>-9.2756048734052339</c:v>
                </c:pt>
                <c:pt idx="598">
                  <c:v>-9.2856474835269296</c:v>
                </c:pt>
                <c:pt idx="599">
                  <c:v>-9.2956900971037033</c:v>
                </c:pt>
                <c:pt idx="600">
                  <c:v>-9.3057327141353969</c:v>
                </c:pt>
                <c:pt idx="601">
                  <c:v>-9.3157753346218541</c:v>
                </c:pt>
                <c:pt idx="602">
                  <c:v>-9.3258179585629151</c:v>
                </c:pt>
                <c:pt idx="603">
                  <c:v>-9.3358605859584252</c:v>
                </c:pt>
                <c:pt idx="604">
                  <c:v>-9.3459032168082246</c:v>
                </c:pt>
                <c:pt idx="605">
                  <c:v>-9.3559458511121569</c:v>
                </c:pt>
                <c:pt idx="606">
                  <c:v>-9.3659884888700642</c:v>
                </c:pt>
                <c:pt idx="607">
                  <c:v>-9.3760311300817882</c:v>
                </c:pt>
                <c:pt idx="608">
                  <c:v>-9.3860737747471727</c:v>
                </c:pt>
                <c:pt idx="609">
                  <c:v>-9.3961164228660596</c:v>
                </c:pt>
                <c:pt idx="610">
                  <c:v>-9.4061590744382908</c:v>
                </c:pt>
                <c:pt idx="611">
                  <c:v>-9.4162017294637081</c:v>
                </c:pt>
                <c:pt idx="612">
                  <c:v>-9.4262443879421554</c:v>
                </c:pt>
                <c:pt idx="613">
                  <c:v>-9.4362870498734761</c:v>
                </c:pt>
                <c:pt idx="614">
                  <c:v>-9.4463297152575105</c:v>
                </c:pt>
                <c:pt idx="615">
                  <c:v>-9.4563723840941023</c:v>
                </c:pt>
                <c:pt idx="616">
                  <c:v>-9.4664150563830933</c:v>
                </c:pt>
                <c:pt idx="617">
                  <c:v>-9.4764577321243273</c:v>
                </c:pt>
                <c:pt idx="618">
                  <c:v>-9.4865004113176461</c:v>
                </c:pt>
                <c:pt idx="619">
                  <c:v>-9.4965430939628916</c:v>
                </c:pt>
                <c:pt idx="620">
                  <c:v>-9.5065857800599058</c:v>
                </c:pt>
                <c:pt idx="621">
                  <c:v>-9.5166284696085324</c:v>
                </c:pt>
                <c:pt idx="622">
                  <c:v>-9.5266711626086131</c:v>
                </c:pt>
                <c:pt idx="623">
                  <c:v>-9.5367138590599918</c:v>
                </c:pt>
                <c:pt idx="624">
                  <c:v>-9.5467565589625085</c:v>
                </c:pt>
                <c:pt idx="625">
                  <c:v>-9.5567992623160087</c:v>
                </c:pt>
                <c:pt idx="626">
                  <c:v>-9.5668419691203326</c:v>
                </c:pt>
                <c:pt idx="627">
                  <c:v>-9.5768846793753237</c:v>
                </c:pt>
                <c:pt idx="628">
                  <c:v>-9.5869273930808241</c:v>
                </c:pt>
                <c:pt idx="629">
                  <c:v>-9.5969701102366773</c:v>
                </c:pt>
                <c:pt idx="630">
                  <c:v>-9.6070128308427254</c:v>
                </c:pt>
                <c:pt idx="631">
                  <c:v>-9.6170555548988101</c:v>
                </c:pt>
                <c:pt idx="632">
                  <c:v>-9.6270982824047735</c:v>
                </c:pt>
                <c:pt idx="633">
                  <c:v>-9.6371410133604591</c:v>
                </c:pt>
                <c:pt idx="634">
                  <c:v>-9.647183747765709</c:v>
                </c:pt>
                <c:pt idx="635">
                  <c:v>-9.6572264856203667</c:v>
                </c:pt>
                <c:pt idx="636">
                  <c:v>-9.6672692269242742</c:v>
                </c:pt>
                <c:pt idx="637">
                  <c:v>-9.6773119716772733</c:v>
                </c:pt>
                <c:pt idx="638">
                  <c:v>-9.6873547198792078</c:v>
                </c:pt>
                <c:pt idx="639">
                  <c:v>-9.6973974715299196</c:v>
                </c:pt>
                <c:pt idx="640">
                  <c:v>-9.7074402266292505</c:v>
                </c:pt>
                <c:pt idx="641">
                  <c:v>-9.7174829851770443</c:v>
                </c:pt>
                <c:pt idx="642">
                  <c:v>-9.7275257471731429</c:v>
                </c:pt>
                <c:pt idx="643">
                  <c:v>-9.7375685126173899</c:v>
                </c:pt>
                <c:pt idx="644">
                  <c:v>-9.7476112815096272</c:v>
                </c:pt>
                <c:pt idx="645">
                  <c:v>-9.7576540538496968</c:v>
                </c:pt>
                <c:pt idx="646">
                  <c:v>-9.7676968296374405</c:v>
                </c:pt>
                <c:pt idx="647">
                  <c:v>-9.777739608872702</c:v>
                </c:pt>
                <c:pt idx="648">
                  <c:v>-9.787782391555325</c:v>
                </c:pt>
                <c:pt idx="649">
                  <c:v>-9.7978251776851497</c:v>
                </c:pt>
                <c:pt idx="650">
                  <c:v>-9.8078679672620197</c:v>
                </c:pt>
                <c:pt idx="651">
                  <c:v>-9.8179107602857787</c:v>
                </c:pt>
                <c:pt idx="652">
                  <c:v>-9.8279535567562686</c:v>
                </c:pt>
                <c:pt idx="653">
                  <c:v>-9.8379963566733313</c:v>
                </c:pt>
                <c:pt idx="654">
                  <c:v>-9.8480391600368087</c:v>
                </c:pt>
                <c:pt idx="655">
                  <c:v>-9.8580819668465445</c:v>
                </c:pt>
                <c:pt idx="656">
                  <c:v>-9.8681247771023823</c:v>
                </c:pt>
                <c:pt idx="657">
                  <c:v>-9.8781675908041624</c:v>
                </c:pt>
                <c:pt idx="658">
                  <c:v>-9.8882104079517301</c:v>
                </c:pt>
                <c:pt idx="659">
                  <c:v>-9.8982532285449256</c:v>
                </c:pt>
                <c:pt idx="660">
                  <c:v>-9.9082960525835926</c:v>
                </c:pt>
                <c:pt idx="661">
                  <c:v>-9.9183388800675729</c:v>
                </c:pt>
                <c:pt idx="662">
                  <c:v>-9.9283817109967103</c:v>
                </c:pt>
                <c:pt idx="663">
                  <c:v>-9.9384245453708466</c:v>
                </c:pt>
                <c:pt idx="664">
                  <c:v>-9.9484673831898238</c:v>
                </c:pt>
                <c:pt idx="665">
                  <c:v>-9.9585102244534855</c:v>
                </c:pt>
                <c:pt idx="666">
                  <c:v>-9.9685530691616737</c:v>
                </c:pt>
                <c:pt idx="667">
                  <c:v>-9.978595917314232</c:v>
                </c:pt>
                <c:pt idx="668">
                  <c:v>-9.9886387689110023</c:v>
                </c:pt>
                <c:pt idx="669">
                  <c:v>-9.9986816239518284</c:v>
                </c:pt>
                <c:pt idx="670">
                  <c:v>-10.00872448243655</c:v>
                </c:pt>
                <c:pt idx="671">
                  <c:v>-10.018767344365013</c:v>
                </c:pt>
                <c:pt idx="672">
                  <c:v>-10.028810209737058</c:v>
                </c:pt>
                <c:pt idx="673">
                  <c:v>-10.038853078552528</c:v>
                </c:pt>
                <c:pt idx="674">
                  <c:v>-10.048895950811266</c:v>
                </c:pt>
                <c:pt idx="675">
                  <c:v>-10.058938826513115</c:v>
                </c:pt>
                <c:pt idx="676">
                  <c:v>-10.068981705657917</c:v>
                </c:pt>
                <c:pt idx="677">
                  <c:v>-10.079024588245515</c:v>
                </c:pt>
                <c:pt idx="678">
                  <c:v>-10.089067474275751</c:v>
                </c:pt>
                <c:pt idx="679">
                  <c:v>-10.099110363748469</c:v>
                </c:pt>
                <c:pt idx="680">
                  <c:v>-10.109153256663509</c:v>
                </c:pt>
                <c:pt idx="681">
                  <c:v>-10.119196153020717</c:v>
                </c:pt>
                <c:pt idx="682">
                  <c:v>-10.129239052819933</c:v>
                </c:pt>
                <c:pt idx="683">
                  <c:v>-10.139281956061001</c:v>
                </c:pt>
                <c:pt idx="684">
                  <c:v>-10.149324862743764</c:v>
                </c:pt>
                <c:pt idx="685">
                  <c:v>-10.159367772868064</c:v>
                </c:pt>
                <c:pt idx="686">
                  <c:v>-10.169410686433743</c:v>
                </c:pt>
                <c:pt idx="687">
                  <c:v>-10.179453603440644</c:v>
                </c:pt>
                <c:pt idx="688">
                  <c:v>-10.189496523888609</c:v>
                </c:pt>
                <c:pt idx="689">
                  <c:v>-10.199539447777482</c:v>
                </c:pt>
                <c:pt idx="690">
                  <c:v>-10.209582375107107</c:v>
                </c:pt>
                <c:pt idx="691">
                  <c:v>-10.219625305877324</c:v>
                </c:pt>
                <c:pt idx="692">
                  <c:v>-10.229668240087976</c:v>
                </c:pt>
                <c:pt idx="693">
                  <c:v>-10.239711177738908</c:v>
                </c:pt>
                <c:pt idx="694">
                  <c:v>-10.24975411882996</c:v>
                </c:pt>
                <c:pt idx="695">
                  <c:v>-10.259797063360976</c:v>
                </c:pt>
                <c:pt idx="696">
                  <c:v>-10.269840011331798</c:v>
                </c:pt>
                <c:pt idx="697">
                  <c:v>-10.279882962742269</c:v>
                </c:pt>
                <c:pt idx="698">
                  <c:v>-10.289925917592232</c:v>
                </c:pt>
                <c:pt idx="699">
                  <c:v>-10.299968875881529</c:v>
                </c:pt>
                <c:pt idx="700">
                  <c:v>-10.310011837610004</c:v>
                </c:pt>
                <c:pt idx="701">
                  <c:v>-10.320054802777499</c:v>
                </c:pt>
                <c:pt idx="702">
                  <c:v>-10.330097771383857</c:v>
                </c:pt>
                <c:pt idx="703">
                  <c:v>-10.34014074342892</c:v>
                </c:pt>
                <c:pt idx="704">
                  <c:v>-10.350183718912531</c:v>
                </c:pt>
                <c:pt idx="705">
                  <c:v>-10.360226697834532</c:v>
                </c:pt>
                <c:pt idx="706">
                  <c:v>-10.370269680194767</c:v>
                </c:pt>
                <c:pt idx="707">
                  <c:v>-10.380312665993078</c:v>
                </c:pt>
                <c:pt idx="708">
                  <c:v>-10.390355655229309</c:v>
                </c:pt>
                <c:pt idx="709">
                  <c:v>-10.4003986479033</c:v>
                </c:pt>
                <c:pt idx="710">
                  <c:v>-10.410441644014897</c:v>
                </c:pt>
                <c:pt idx="711">
                  <c:v>-10.42048464356394</c:v>
                </c:pt>
                <c:pt idx="712">
                  <c:v>-10.430527646550273</c:v>
                </c:pt>
                <c:pt idx="713">
                  <c:v>-10.440570652973738</c:v>
                </c:pt>
                <c:pt idx="714">
                  <c:v>-10.450613662834179</c:v>
                </c:pt>
                <c:pt idx="715">
                  <c:v>-10.460656676131439</c:v>
                </c:pt>
                <c:pt idx="716">
                  <c:v>-10.47069969286536</c:v>
                </c:pt>
                <c:pt idx="717">
                  <c:v>-10.480742713035783</c:v>
                </c:pt>
                <c:pt idx="718">
                  <c:v>-10.490785736642552</c:v>
                </c:pt>
                <c:pt idx="719">
                  <c:v>-10.500828763685512</c:v>
                </c:pt>
                <c:pt idx="720">
                  <c:v>-10.510871794164503</c:v>
                </c:pt>
                <c:pt idx="721">
                  <c:v>-10.520914828079368</c:v>
                </c:pt>
                <c:pt idx="722">
                  <c:v>-10.530957865429951</c:v>
                </c:pt>
                <c:pt idx="723">
                  <c:v>-10.541000906216093</c:v>
                </c:pt>
                <c:pt idx="724">
                  <c:v>-10.551043950437638</c:v>
                </c:pt>
                <c:pt idx="725">
                  <c:v>-10.561086998094428</c:v>
                </c:pt>
                <c:pt idx="726">
                  <c:v>-10.571130049186307</c:v>
                </c:pt>
                <c:pt idx="727">
                  <c:v>-10.581173103713118</c:v>
                </c:pt>
                <c:pt idx="728">
                  <c:v>-10.591216161674701</c:v>
                </c:pt>
                <c:pt idx="729">
                  <c:v>-10.601259223070903</c:v>
                </c:pt>
                <c:pt idx="730">
                  <c:v>-10.611302287901562</c:v>
                </c:pt>
                <c:pt idx="731">
                  <c:v>-10.621345356166525</c:v>
                </c:pt>
                <c:pt idx="732">
                  <c:v>-10.631388427865632</c:v>
                </c:pt>
                <c:pt idx="733">
                  <c:v>-10.641431502998728</c:v>
                </c:pt>
                <c:pt idx="734">
                  <c:v>-10.651474581565655</c:v>
                </c:pt>
                <c:pt idx="735">
                  <c:v>-10.661517663566254</c:v>
                </c:pt>
                <c:pt idx="736">
                  <c:v>-10.671560749000371</c:v>
                </c:pt>
                <c:pt idx="737">
                  <c:v>-10.681603837867845</c:v>
                </c:pt>
                <c:pt idx="738">
                  <c:v>-10.691646930168522</c:v>
                </c:pt>
                <c:pt idx="739">
                  <c:v>-10.701690025902243</c:v>
                </c:pt>
                <c:pt idx="740">
                  <c:v>-10.711733125068852</c:v>
                </c:pt>
                <c:pt idx="741">
                  <c:v>-10.72177622766819</c:v>
                </c:pt>
                <c:pt idx="742">
                  <c:v>-10.731819333700102</c:v>
                </c:pt>
                <c:pt idx="743">
                  <c:v>-10.741862443164429</c:v>
                </c:pt>
                <c:pt idx="744">
                  <c:v>-10.751905556061015</c:v>
                </c:pt>
                <c:pt idx="745">
                  <c:v>-10.761948672389702</c:v>
                </c:pt>
                <c:pt idx="746">
                  <c:v>-10.771991792150333</c:v>
                </c:pt>
                <c:pt idx="747">
                  <c:v>-10.782034915342752</c:v>
                </c:pt>
                <c:pt idx="748">
                  <c:v>-10.792078041966802</c:v>
                </c:pt>
                <c:pt idx="749">
                  <c:v>-10.802121172022323</c:v>
                </c:pt>
                <c:pt idx="750">
                  <c:v>-10.81216430550916</c:v>
                </c:pt>
                <c:pt idx="751">
                  <c:v>-10.822207442427157</c:v>
                </c:pt>
                <c:pt idx="752">
                  <c:v>-10.832250582776155</c:v>
                </c:pt>
                <c:pt idx="753">
                  <c:v>-10.842293726555996</c:v>
                </c:pt>
                <c:pt idx="754">
                  <c:v>-10.852336873766523</c:v>
                </c:pt>
                <c:pt idx="755">
                  <c:v>-10.862380024407582</c:v>
                </c:pt>
                <c:pt idx="756">
                  <c:v>-10.872423178479012</c:v>
                </c:pt>
                <c:pt idx="757">
                  <c:v>-10.882466335980657</c:v>
                </c:pt>
                <c:pt idx="758">
                  <c:v>-10.892509496912362</c:v>
                </c:pt>
                <c:pt idx="759">
                  <c:v>-10.902552661273967</c:v>
                </c:pt>
                <c:pt idx="760">
                  <c:v>-10.912595829065317</c:v>
                </c:pt>
                <c:pt idx="761">
                  <c:v>-10.922639000286253</c:v>
                </c:pt>
                <c:pt idx="762">
                  <c:v>-10.93268217493662</c:v>
                </c:pt>
                <c:pt idx="763">
                  <c:v>-10.942725353016259</c:v>
                </c:pt>
                <c:pt idx="764">
                  <c:v>-10.952768534525013</c:v>
                </c:pt>
                <c:pt idx="765">
                  <c:v>-10.962811719462726</c:v>
                </c:pt>
                <c:pt idx="766">
                  <c:v>-10.972854907829241</c:v>
                </c:pt>
                <c:pt idx="767">
                  <c:v>-10.9828980996244</c:v>
                </c:pt>
                <c:pt idx="768">
                  <c:v>-10.992941294848045</c:v>
                </c:pt>
                <c:pt idx="769">
                  <c:v>-11.002984493500021</c:v>
                </c:pt>
                <c:pt idx="770">
                  <c:v>-11.013027695580169</c:v>
                </c:pt>
                <c:pt idx="771">
                  <c:v>-11.023070901088333</c:v>
                </c:pt>
                <c:pt idx="772">
                  <c:v>-11.033114110024355</c:v>
                </c:pt>
                <c:pt idx="773">
                  <c:v>-11.04315732238808</c:v>
                </c:pt>
                <c:pt idx="774">
                  <c:v>-11.053200538179349</c:v>
                </c:pt>
                <c:pt idx="775">
                  <c:v>-11.063243757398004</c:v>
                </c:pt>
                <c:pt idx="776">
                  <c:v>-11.073286980043889</c:v>
                </c:pt>
                <c:pt idx="777">
                  <c:v>-11.083330206116848</c:v>
                </c:pt>
                <c:pt idx="778">
                  <c:v>-11.093373435616723</c:v>
                </c:pt>
                <c:pt idx="779">
                  <c:v>-11.103416668543357</c:v>
                </c:pt>
                <c:pt idx="780">
                  <c:v>-11.113459904896592</c:v>
                </c:pt>
                <c:pt idx="781">
                  <c:v>-11.123503144676272</c:v>
                </c:pt>
                <c:pt idx="782">
                  <c:v>-11.133546387882241</c:v>
                </c:pt>
                <c:pt idx="783">
                  <c:v>-11.14358963451434</c:v>
                </c:pt>
                <c:pt idx="784">
                  <c:v>-11.153632884572412</c:v>
                </c:pt>
                <c:pt idx="785">
                  <c:v>-11.163676138056299</c:v>
                </c:pt>
                <c:pt idx="786">
                  <c:v>-11.173719394965847</c:v>
                </c:pt>
                <c:pt idx="787">
                  <c:v>-11.183762655300898</c:v>
                </c:pt>
                <c:pt idx="788">
                  <c:v>-11.193805919061292</c:v>
                </c:pt>
                <c:pt idx="789">
                  <c:v>-11.203849186246876</c:v>
                </c:pt>
                <c:pt idx="790">
                  <c:v>-11.21389245685749</c:v>
                </c:pt>
                <c:pt idx="791">
                  <c:v>-11.223935730892979</c:v>
                </c:pt>
                <c:pt idx="792">
                  <c:v>-11.233979008353185</c:v>
                </c:pt>
                <c:pt idx="793">
                  <c:v>-11.24402228923795</c:v>
                </c:pt>
                <c:pt idx="794">
                  <c:v>-11.254065573547118</c:v>
                </c:pt>
                <c:pt idx="795">
                  <c:v>-11.264108861280532</c:v>
                </c:pt>
                <c:pt idx="796">
                  <c:v>-11.274152152438035</c:v>
                </c:pt>
                <c:pt idx="797">
                  <c:v>-11.284195447019469</c:v>
                </c:pt>
                <c:pt idx="798">
                  <c:v>-11.294238745024678</c:v>
                </c:pt>
                <c:pt idx="799">
                  <c:v>-11.304282046453505</c:v>
                </c:pt>
                <c:pt idx="800">
                  <c:v>-11.314325351305792</c:v>
                </c:pt>
                <c:pt idx="801">
                  <c:v>-11.324368659581383</c:v>
                </c:pt>
                <c:pt idx="802">
                  <c:v>-11.334411971280121</c:v>
                </c:pt>
                <c:pt idx="803">
                  <c:v>-11.344455286401848</c:v>
                </c:pt>
                <c:pt idx="804">
                  <c:v>-11.354498604946407</c:v>
                </c:pt>
                <c:pt idx="805">
                  <c:v>-11.364541926913642</c:v>
                </c:pt>
                <c:pt idx="806">
                  <c:v>-11.374585252303396</c:v>
                </c:pt>
                <c:pt idx="807">
                  <c:v>-11.384628581115511</c:v>
                </c:pt>
                <c:pt idx="808">
                  <c:v>-11.39467191334983</c:v>
                </c:pt>
                <c:pt idx="809">
                  <c:v>-11.404715249006196</c:v>
                </c:pt>
                <c:pt idx="810">
                  <c:v>-11.414758588084453</c:v>
                </c:pt>
                <c:pt idx="811">
                  <c:v>-11.424801930584444</c:v>
                </c:pt>
                <c:pt idx="812">
                  <c:v>-11.43484527650601</c:v>
                </c:pt>
                <c:pt idx="813">
                  <c:v>-11.444888625848996</c:v>
                </c:pt>
                <c:pt idx="814">
                  <c:v>-11.454931978613244</c:v>
                </c:pt>
                <c:pt idx="815">
                  <c:v>-11.464975334798599</c:v>
                </c:pt>
                <c:pt idx="816">
                  <c:v>-11.4750186944049</c:v>
                </c:pt>
                <c:pt idx="817">
                  <c:v>-11.485062057431994</c:v>
                </c:pt>
                <c:pt idx="818">
                  <c:v>-11.495105423879723</c:v>
                </c:pt>
                <c:pt idx="819">
                  <c:v>-11.505148793747928</c:v>
                </c:pt>
                <c:pt idx="820">
                  <c:v>-11.515192167036453</c:v>
                </c:pt>
                <c:pt idx="821">
                  <c:v>-11.525235543745142</c:v>
                </c:pt>
                <c:pt idx="822">
                  <c:v>-11.535278923873838</c:v>
                </c:pt>
                <c:pt idx="823">
                  <c:v>-11.545322307422383</c:v>
                </c:pt>
                <c:pt idx="824">
                  <c:v>-11.555365694390622</c:v>
                </c:pt>
                <c:pt idx="825">
                  <c:v>-11.565409084778395</c:v>
                </c:pt>
                <c:pt idx="826">
                  <c:v>-11.575452478585547</c:v>
                </c:pt>
                <c:pt idx="827">
                  <c:v>-11.585495875811921</c:v>
                </c:pt>
                <c:pt idx="828">
                  <c:v>-11.595539276457359</c:v>
                </c:pt>
                <c:pt idx="829">
                  <c:v>-11.605582680521705</c:v>
                </c:pt>
                <c:pt idx="830">
                  <c:v>-11.615626088004802</c:v>
                </c:pt>
                <c:pt idx="831">
                  <c:v>-11.625669498906493</c:v>
                </c:pt>
                <c:pt idx="832">
                  <c:v>-11.635712913226621</c:v>
                </c:pt>
                <c:pt idx="833">
                  <c:v>-11.645756330965028</c:v>
                </c:pt>
                <c:pt idx="834">
                  <c:v>-11.655799752121558</c:v>
                </c:pt>
                <c:pt idx="835">
                  <c:v>-11.665843176696054</c:v>
                </c:pt>
                <c:pt idx="836">
                  <c:v>-11.67588660468836</c:v>
                </c:pt>
                <c:pt idx="837">
                  <c:v>-11.685930036098318</c:v>
                </c:pt>
                <c:pt idx="838">
                  <c:v>-11.695973470925772</c:v>
                </c:pt>
                <c:pt idx="839">
                  <c:v>-11.706016909170563</c:v>
                </c:pt>
                <c:pt idx="840">
                  <c:v>-11.716060350832535</c:v>
                </c:pt>
                <c:pt idx="841">
                  <c:v>-11.726103795911532</c:v>
                </c:pt>
                <c:pt idx="842">
                  <c:v>-11.736147244407396</c:v>
                </c:pt>
                <c:pt idx="843">
                  <c:v>-11.746190696319971</c:v>
                </c:pt>
                <c:pt idx="844">
                  <c:v>-11.7562341516491</c:v>
                </c:pt>
                <c:pt idx="845">
                  <c:v>-11.766277610394624</c:v>
                </c:pt>
                <c:pt idx="846">
                  <c:v>-11.776321072556389</c:v>
                </c:pt>
                <c:pt idx="847">
                  <c:v>-11.786364538134237</c:v>
                </c:pt>
                <c:pt idx="848">
                  <c:v>-11.79640800712801</c:v>
                </c:pt>
                <c:pt idx="849">
                  <c:v>-11.806451479537554</c:v>
                </c:pt>
                <c:pt idx="850">
                  <c:v>-11.816494955362709</c:v>
                </c:pt>
                <c:pt idx="851">
                  <c:v>-11.82653843460332</c:v>
                </c:pt>
                <c:pt idx="852">
                  <c:v>-11.836581917259229</c:v>
                </c:pt>
                <c:pt idx="853">
                  <c:v>-11.846625403330279</c:v>
                </c:pt>
                <c:pt idx="854">
                  <c:v>-11.856668892816314</c:v>
                </c:pt>
                <c:pt idx="855">
                  <c:v>-11.866712385717177</c:v>
                </c:pt>
                <c:pt idx="856">
                  <c:v>-11.876755882032711</c:v>
                </c:pt>
                <c:pt idx="857">
                  <c:v>-11.886799381762758</c:v>
                </c:pt>
                <c:pt idx="858">
                  <c:v>-11.896842884907162</c:v>
                </c:pt>
                <c:pt idx="859">
                  <c:v>-11.906886391465767</c:v>
                </c:pt>
                <c:pt idx="860">
                  <c:v>-11.916929901438415</c:v>
                </c:pt>
                <c:pt idx="861">
                  <c:v>-11.92697341482495</c:v>
                </c:pt>
                <c:pt idx="862">
                  <c:v>-11.937016931625214</c:v>
                </c:pt>
                <c:pt idx="863">
                  <c:v>-11.94706045183905</c:v>
                </c:pt>
                <c:pt idx="864">
                  <c:v>-11.957103975466303</c:v>
                </c:pt>
                <c:pt idx="865">
                  <c:v>-11.967147502506815</c:v>
                </c:pt>
                <c:pt idx="866">
                  <c:v>-11.977191032960429</c:v>
                </c:pt>
                <c:pt idx="867">
                  <c:v>-11.987234566826988</c:v>
                </c:pt>
                <c:pt idx="868">
                  <c:v>-11.997278104106336</c:v>
                </c:pt>
                <c:pt idx="869">
                  <c:v>-12.007321644798314</c:v>
                </c:pt>
                <c:pt idx="870">
                  <c:v>-12.017365188902767</c:v>
                </c:pt>
                <c:pt idx="871">
                  <c:v>-12.027408736419538</c:v>
                </c:pt>
                <c:pt idx="872">
                  <c:v>-12.03745228734847</c:v>
                </c:pt>
                <c:pt idx="873">
                  <c:v>-12.047495841689406</c:v>
                </c:pt>
                <c:pt idx="874">
                  <c:v>-12.05753939944219</c:v>
                </c:pt>
                <c:pt idx="875">
                  <c:v>-12.067582960606664</c:v>
                </c:pt>
                <c:pt idx="876">
                  <c:v>-12.077626525182671</c:v>
                </c:pt>
                <c:pt idx="877">
                  <c:v>-12.087670093170056</c:v>
                </c:pt>
                <c:pt idx="878">
                  <c:v>-12.09771366456866</c:v>
                </c:pt>
                <c:pt idx="879">
                  <c:v>-12.107757239378328</c:v>
                </c:pt>
                <c:pt idx="880">
                  <c:v>-12.117800817598901</c:v>
                </c:pt>
                <c:pt idx="881">
                  <c:v>-12.127844399230225</c:v>
                </c:pt>
                <c:pt idx="882">
                  <c:v>-12.137887984272142</c:v>
                </c:pt>
                <c:pt idx="883">
                  <c:v>-12.147931572724493</c:v>
                </c:pt>
                <c:pt idx="884">
                  <c:v>-12.157975164587125</c:v>
                </c:pt>
                <c:pt idx="885">
                  <c:v>-12.168018759859878</c:v>
                </c:pt>
                <c:pt idx="886">
                  <c:v>-12.178062358542597</c:v>
                </c:pt>
                <c:pt idx="887">
                  <c:v>-12.188105960635124</c:v>
                </c:pt>
                <c:pt idx="888">
                  <c:v>-12.198149566137303</c:v>
                </c:pt>
                <c:pt idx="889">
                  <c:v>-12.208193175048978</c:v>
                </c:pt>
                <c:pt idx="890">
                  <c:v>-12.218236787369989</c:v>
                </c:pt>
                <c:pt idx="891">
                  <c:v>-12.228280403100182</c:v>
                </c:pt>
                <c:pt idx="892">
                  <c:v>-12.2383240222394</c:v>
                </c:pt>
                <c:pt idx="893">
                  <c:v>-12.248367644787486</c:v>
                </c:pt>
                <c:pt idx="894">
                  <c:v>-12.258411270744283</c:v>
                </c:pt>
                <c:pt idx="895">
                  <c:v>-12.268454900109633</c:v>
                </c:pt>
                <c:pt idx="896">
                  <c:v>-12.278498532883383</c:v>
                </c:pt>
                <c:pt idx="897">
                  <c:v>-12.288542169065373</c:v>
                </c:pt>
                <c:pt idx="898">
                  <c:v>-12.298585808655446</c:v>
                </c:pt>
                <c:pt idx="899">
                  <c:v>-12.308629451653447</c:v>
                </c:pt>
                <c:pt idx="900">
                  <c:v>-12.318673098059218</c:v>
                </c:pt>
                <c:pt idx="901">
                  <c:v>-12.328716747872603</c:v>
                </c:pt>
                <c:pt idx="902">
                  <c:v>-12.338760401093444</c:v>
                </c:pt>
                <c:pt idx="903">
                  <c:v>-12.348804057721585</c:v>
                </c:pt>
                <c:pt idx="904">
                  <c:v>-12.35884771775687</c:v>
                </c:pt>
                <c:pt idx="905">
                  <c:v>-12.368891381199141</c:v>
                </c:pt>
                <c:pt idx="906">
                  <c:v>-12.378935048048243</c:v>
                </c:pt>
                <c:pt idx="907">
                  <c:v>-12.388978718304017</c:v>
                </c:pt>
                <c:pt idx="908">
                  <c:v>-12.399022391966307</c:v>
                </c:pt>
                <c:pt idx="909">
                  <c:v>-12.409066069034957</c:v>
                </c:pt>
                <c:pt idx="910">
                  <c:v>-12.41910974950981</c:v>
                </c:pt>
                <c:pt idx="911">
                  <c:v>-12.429153433390708</c:v>
                </c:pt>
                <c:pt idx="912">
                  <c:v>-12.439197120677495</c:v>
                </c:pt>
                <c:pt idx="913">
                  <c:v>-12.449240811370014</c:v>
                </c:pt>
                <c:pt idx="914">
                  <c:v>-12.45928450546811</c:v>
                </c:pt>
                <c:pt idx="915">
                  <c:v>-12.469328202971626</c:v>
                </c:pt>
                <c:pt idx="916">
                  <c:v>-12.479371903880404</c:v>
                </c:pt>
                <c:pt idx="917">
                  <c:v>-12.489415608194287</c:v>
                </c:pt>
                <c:pt idx="918">
                  <c:v>-12.49945931591312</c:v>
                </c:pt>
                <c:pt idx="919">
                  <c:v>-12.509503027036745</c:v>
                </c:pt>
                <c:pt idx="920">
                  <c:v>-12.519546741565005</c:v>
                </c:pt>
                <c:pt idx="921">
                  <c:v>-12.529590459497744</c:v>
                </c:pt>
                <c:pt idx="922">
                  <c:v>-12.539634180834804</c:v>
                </c:pt>
                <c:pt idx="923">
                  <c:v>-12.549677905576031</c:v>
                </c:pt>
                <c:pt idx="924">
                  <c:v>-12.559721633721265</c:v>
                </c:pt>
                <c:pt idx="925">
                  <c:v>-12.569765365270353</c:v>
                </c:pt>
                <c:pt idx="926">
                  <c:v>-12.579809100223136</c:v>
                </c:pt>
                <c:pt idx="927">
                  <c:v>-12.589852838579455</c:v>
                </c:pt>
                <c:pt idx="928">
                  <c:v>-12.599896580339157</c:v>
                </c:pt>
                <c:pt idx="929">
                  <c:v>-12.609940325502086</c:v>
                </c:pt>
                <c:pt idx="930">
                  <c:v>-12.619984074068082</c:v>
                </c:pt>
                <c:pt idx="931">
                  <c:v>-12.63002782603699</c:v>
                </c:pt>
                <c:pt idx="932">
                  <c:v>-12.640071581408654</c:v>
                </c:pt>
                <c:pt idx="933">
                  <c:v>-12.650115340182914</c:v>
                </c:pt>
                <c:pt idx="934">
                  <c:v>-12.660159102359618</c:v>
                </c:pt>
                <c:pt idx="935">
                  <c:v>-12.670202867938606</c:v>
                </c:pt>
                <c:pt idx="936">
                  <c:v>-12.680246636919723</c:v>
                </c:pt>
                <c:pt idx="937">
                  <c:v>-12.690290409302811</c:v>
                </c:pt>
                <c:pt idx="938">
                  <c:v>-12.700334185087714</c:v>
                </c:pt>
                <c:pt idx="939">
                  <c:v>-12.710377964274276</c:v>
                </c:pt>
                <c:pt idx="940">
                  <c:v>-12.720421746862339</c:v>
                </c:pt>
                <c:pt idx="941">
                  <c:v>-12.730465532851747</c:v>
                </c:pt>
                <c:pt idx="942">
                  <c:v>-12.740509322242344</c:v>
                </c:pt>
                <c:pt idx="943">
                  <c:v>-12.750553115033972</c:v>
                </c:pt>
                <c:pt idx="944">
                  <c:v>-12.760596911226475</c:v>
                </c:pt>
                <c:pt idx="945">
                  <c:v>-12.770640710819697</c:v>
                </c:pt>
                <c:pt idx="946">
                  <c:v>-12.78068451381348</c:v>
                </c:pt>
                <c:pt idx="947">
                  <c:v>-12.790728320207668</c:v>
                </c:pt>
                <c:pt idx="948">
                  <c:v>-12.800772130002104</c:v>
                </c:pt>
                <c:pt idx="949">
                  <c:v>-12.810815943196632</c:v>
                </c:pt>
                <c:pt idx="950">
                  <c:v>-12.820859759791094</c:v>
                </c:pt>
                <c:pt idx="951">
                  <c:v>-12.830903579785335</c:v>
                </c:pt>
                <c:pt idx="952">
                  <c:v>-12.840947403179198</c:v>
                </c:pt>
                <c:pt idx="953">
                  <c:v>-12.850991229972527</c:v>
                </c:pt>
                <c:pt idx="954">
                  <c:v>-12.861035060165165</c:v>
                </c:pt>
                <c:pt idx="955">
                  <c:v>-12.871078893756954</c:v>
                </c:pt>
                <c:pt idx="956">
                  <c:v>-12.881122730747739</c:v>
                </c:pt>
                <c:pt idx="957">
                  <c:v>-12.891166571137363</c:v>
                </c:pt>
                <c:pt idx="958">
                  <c:v>-12.90121041492567</c:v>
                </c:pt>
                <c:pt idx="959">
                  <c:v>-12.9112542621125</c:v>
                </c:pt>
                <c:pt idx="960">
                  <c:v>-12.9212981126977</c:v>
                </c:pt>
                <c:pt idx="961">
                  <c:v>-12.931341966681112</c:v>
                </c:pt>
                <c:pt idx="962">
                  <c:v>-12.94138582406258</c:v>
                </c:pt>
                <c:pt idx="963">
                  <c:v>-12.951429684841948</c:v>
                </c:pt>
                <c:pt idx="964">
                  <c:v>-12.961473549019058</c:v>
                </c:pt>
                <c:pt idx="965">
                  <c:v>-12.971517416593752</c:v>
                </c:pt>
                <c:pt idx="966">
                  <c:v>-12.981561287565876</c:v>
                </c:pt>
                <c:pt idx="967">
                  <c:v>-12.991605161935274</c:v>
                </c:pt>
                <c:pt idx="968">
                  <c:v>-13.001649039701787</c:v>
                </c:pt>
                <c:pt idx="969">
                  <c:v>-13.01169292086526</c:v>
                </c:pt>
                <c:pt idx="970">
                  <c:v>-13.021736805425535</c:v>
                </c:pt>
                <c:pt idx="971">
                  <c:v>-13.031780693382457</c:v>
                </c:pt>
                <c:pt idx="972">
                  <c:v>-13.041824584735869</c:v>
                </c:pt>
                <c:pt idx="973">
                  <c:v>-13.051868479485613</c:v>
                </c:pt>
                <c:pt idx="974">
                  <c:v>-13.061912377631534</c:v>
                </c:pt>
                <c:pt idx="975">
                  <c:v>-13.071956279173476</c:v>
                </c:pt>
                <c:pt idx="976">
                  <c:v>-13.08200018411128</c:v>
                </c:pt>
                <c:pt idx="977">
                  <c:v>-13.092044092444791</c:v>
                </c:pt>
                <c:pt idx="978">
                  <c:v>-13.102088004173853</c:v>
                </c:pt>
                <c:pt idx="979">
                  <c:v>-13.112131919298308</c:v>
                </c:pt>
                <c:pt idx="980">
                  <c:v>-13.122175837818</c:v>
                </c:pt>
                <c:pt idx="981">
                  <c:v>-13.132219759732774</c:v>
                </c:pt>
                <c:pt idx="982">
                  <c:v>-13.142263685042471</c:v>
                </c:pt>
                <c:pt idx="983">
                  <c:v>-13.152307613746935</c:v>
                </c:pt>
                <c:pt idx="984">
                  <c:v>-13.162351545846009</c:v>
                </c:pt>
                <c:pt idx="985">
                  <c:v>-13.172395481339539</c:v>
                </c:pt>
                <c:pt idx="986">
                  <c:v>-13.182439420227366</c:v>
                </c:pt>
                <c:pt idx="987">
                  <c:v>-13.192483362509336</c:v>
                </c:pt>
                <c:pt idx="988">
                  <c:v>-13.202527308185289</c:v>
                </c:pt>
                <c:pt idx="989">
                  <c:v>-13.212571257255071</c:v>
                </c:pt>
                <c:pt idx="990">
                  <c:v>-13.222615209718525</c:v>
                </c:pt>
                <c:pt idx="991">
                  <c:v>-13.232659165575493</c:v>
                </c:pt>
                <c:pt idx="992">
                  <c:v>-13.24270312482582</c:v>
                </c:pt>
                <c:pt idx="993">
                  <c:v>-13.252747087469348</c:v>
                </c:pt>
                <c:pt idx="994">
                  <c:v>-13.262791053505923</c:v>
                </c:pt>
                <c:pt idx="995">
                  <c:v>-13.272835022935388</c:v>
                </c:pt>
                <c:pt idx="996">
                  <c:v>-13.282878995757585</c:v>
                </c:pt>
                <c:pt idx="997">
                  <c:v>-13.292922971972358</c:v>
                </c:pt>
                <c:pt idx="998">
                  <c:v>-13.302966951579551</c:v>
                </c:pt>
                <c:pt idx="999">
                  <c:v>-13.313010934579006</c:v>
                </c:pt>
                <c:pt idx="1000">
                  <c:v>-13.323054920970568</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35.100000000000186</c:v>
                </c:pt>
                <c:pt idx="500">
                  <c:v>35.200000000000188</c:v>
                </c:pt>
                <c:pt idx="501">
                  <c:v>35.300000000000189</c:v>
                </c:pt>
                <c:pt idx="502">
                  <c:v>35.40000000000019</c:v>
                </c:pt>
                <c:pt idx="503">
                  <c:v>35.500000000000192</c:v>
                </c:pt>
                <c:pt idx="504">
                  <c:v>35.600000000000193</c:v>
                </c:pt>
                <c:pt idx="505">
                  <c:v>35.700000000000195</c:v>
                </c:pt>
                <c:pt idx="506">
                  <c:v>35.800000000000196</c:v>
                </c:pt>
                <c:pt idx="507">
                  <c:v>35.900000000000198</c:v>
                </c:pt>
                <c:pt idx="508">
                  <c:v>36.000000000000199</c:v>
                </c:pt>
                <c:pt idx="509">
                  <c:v>36.1000000000002</c:v>
                </c:pt>
                <c:pt idx="510">
                  <c:v>36.200000000000202</c:v>
                </c:pt>
                <c:pt idx="511">
                  <c:v>36.300000000000203</c:v>
                </c:pt>
                <c:pt idx="512">
                  <c:v>36.400000000000205</c:v>
                </c:pt>
                <c:pt idx="513">
                  <c:v>36.500000000000206</c:v>
                </c:pt>
                <c:pt idx="514">
                  <c:v>36.600000000000207</c:v>
                </c:pt>
                <c:pt idx="515">
                  <c:v>36.600100000000211</c:v>
                </c:pt>
                <c:pt idx="516">
                  <c:v>36.600200000000214</c:v>
                </c:pt>
                <c:pt idx="517">
                  <c:v>36.600300000000217</c:v>
                </c:pt>
                <c:pt idx="518">
                  <c:v>36.600400000000221</c:v>
                </c:pt>
                <c:pt idx="519">
                  <c:v>36.600500000000224</c:v>
                </c:pt>
                <c:pt idx="520">
                  <c:v>36.600600000000227</c:v>
                </c:pt>
                <c:pt idx="521">
                  <c:v>36.600700000000231</c:v>
                </c:pt>
                <c:pt idx="522">
                  <c:v>36.600800000000234</c:v>
                </c:pt>
                <c:pt idx="523">
                  <c:v>36.600900000000237</c:v>
                </c:pt>
                <c:pt idx="524">
                  <c:v>36.601000000000241</c:v>
                </c:pt>
                <c:pt idx="525">
                  <c:v>36.601100000000244</c:v>
                </c:pt>
                <c:pt idx="526">
                  <c:v>36.601200000000247</c:v>
                </c:pt>
                <c:pt idx="527">
                  <c:v>36.601300000000251</c:v>
                </c:pt>
                <c:pt idx="528">
                  <c:v>36.601400000000254</c:v>
                </c:pt>
                <c:pt idx="529">
                  <c:v>36.601500000000257</c:v>
                </c:pt>
                <c:pt idx="530">
                  <c:v>36.601600000000261</c:v>
                </c:pt>
                <c:pt idx="531">
                  <c:v>36.601700000000264</c:v>
                </c:pt>
                <c:pt idx="532">
                  <c:v>36.601800000000267</c:v>
                </c:pt>
                <c:pt idx="533">
                  <c:v>36.601900000000271</c:v>
                </c:pt>
                <c:pt idx="534">
                  <c:v>36.602000000000274</c:v>
                </c:pt>
                <c:pt idx="535">
                  <c:v>36.602100000000277</c:v>
                </c:pt>
                <c:pt idx="536">
                  <c:v>36.602200000000281</c:v>
                </c:pt>
                <c:pt idx="537">
                  <c:v>36.602300000000284</c:v>
                </c:pt>
                <c:pt idx="538">
                  <c:v>36.602400000000287</c:v>
                </c:pt>
                <c:pt idx="539">
                  <c:v>36.60250000000029</c:v>
                </c:pt>
                <c:pt idx="540">
                  <c:v>36.602600000000294</c:v>
                </c:pt>
                <c:pt idx="541">
                  <c:v>36.602700000000297</c:v>
                </c:pt>
                <c:pt idx="542">
                  <c:v>36.6028000000003</c:v>
                </c:pt>
                <c:pt idx="543">
                  <c:v>36.602900000000304</c:v>
                </c:pt>
                <c:pt idx="544">
                  <c:v>36.603000000000307</c:v>
                </c:pt>
                <c:pt idx="545">
                  <c:v>36.60310000000031</c:v>
                </c:pt>
                <c:pt idx="546">
                  <c:v>36.603200000000314</c:v>
                </c:pt>
                <c:pt idx="547">
                  <c:v>36.603300000000317</c:v>
                </c:pt>
                <c:pt idx="548">
                  <c:v>36.60340000000032</c:v>
                </c:pt>
                <c:pt idx="549">
                  <c:v>36.603500000000324</c:v>
                </c:pt>
                <c:pt idx="550">
                  <c:v>36.603600000000327</c:v>
                </c:pt>
                <c:pt idx="551">
                  <c:v>36.60370000000033</c:v>
                </c:pt>
                <c:pt idx="552">
                  <c:v>36.603800000000334</c:v>
                </c:pt>
                <c:pt idx="553">
                  <c:v>36.603900000000337</c:v>
                </c:pt>
                <c:pt idx="554">
                  <c:v>36.60400000000034</c:v>
                </c:pt>
                <c:pt idx="555">
                  <c:v>36.604100000000344</c:v>
                </c:pt>
                <c:pt idx="556">
                  <c:v>36.604200000000347</c:v>
                </c:pt>
                <c:pt idx="557">
                  <c:v>36.60430000000035</c:v>
                </c:pt>
                <c:pt idx="558">
                  <c:v>36.604400000000354</c:v>
                </c:pt>
                <c:pt idx="559">
                  <c:v>36.604500000000357</c:v>
                </c:pt>
                <c:pt idx="560">
                  <c:v>36.60460000000036</c:v>
                </c:pt>
                <c:pt idx="561">
                  <c:v>36.604700000000364</c:v>
                </c:pt>
                <c:pt idx="562">
                  <c:v>36.604800000000367</c:v>
                </c:pt>
                <c:pt idx="563">
                  <c:v>36.60490000000037</c:v>
                </c:pt>
                <c:pt idx="564">
                  <c:v>36.605000000000373</c:v>
                </c:pt>
                <c:pt idx="565">
                  <c:v>36.605100000000377</c:v>
                </c:pt>
                <c:pt idx="566">
                  <c:v>36.60520000000038</c:v>
                </c:pt>
                <c:pt idx="567">
                  <c:v>36.605300000000383</c:v>
                </c:pt>
                <c:pt idx="568">
                  <c:v>36.605400000000387</c:v>
                </c:pt>
                <c:pt idx="569">
                  <c:v>36.60550000000039</c:v>
                </c:pt>
                <c:pt idx="570">
                  <c:v>36.605600000000393</c:v>
                </c:pt>
                <c:pt idx="571">
                  <c:v>36.605700000000397</c:v>
                </c:pt>
                <c:pt idx="572">
                  <c:v>36.6058000000004</c:v>
                </c:pt>
                <c:pt idx="573">
                  <c:v>36.605900000000403</c:v>
                </c:pt>
                <c:pt idx="574">
                  <c:v>36.606000000000407</c:v>
                </c:pt>
                <c:pt idx="575">
                  <c:v>36.60610000000041</c:v>
                </c:pt>
                <c:pt idx="576">
                  <c:v>36.606200000000413</c:v>
                </c:pt>
                <c:pt idx="577">
                  <c:v>36.606300000000417</c:v>
                </c:pt>
                <c:pt idx="578">
                  <c:v>36.60640000000042</c:v>
                </c:pt>
                <c:pt idx="579">
                  <c:v>36.606500000000423</c:v>
                </c:pt>
                <c:pt idx="580">
                  <c:v>36.606600000000427</c:v>
                </c:pt>
                <c:pt idx="581">
                  <c:v>36.60670000000043</c:v>
                </c:pt>
                <c:pt idx="582">
                  <c:v>36.606800000000433</c:v>
                </c:pt>
                <c:pt idx="583">
                  <c:v>36.606900000000437</c:v>
                </c:pt>
                <c:pt idx="584">
                  <c:v>36.60700000000044</c:v>
                </c:pt>
                <c:pt idx="585">
                  <c:v>36.607100000000443</c:v>
                </c:pt>
                <c:pt idx="586">
                  <c:v>36.607200000000446</c:v>
                </c:pt>
                <c:pt idx="587">
                  <c:v>36.60730000000045</c:v>
                </c:pt>
                <c:pt idx="588">
                  <c:v>36.607400000000453</c:v>
                </c:pt>
                <c:pt idx="589">
                  <c:v>36.607500000000456</c:v>
                </c:pt>
                <c:pt idx="590">
                  <c:v>36.60760000000046</c:v>
                </c:pt>
                <c:pt idx="591">
                  <c:v>36.607700000000463</c:v>
                </c:pt>
                <c:pt idx="592">
                  <c:v>36.607800000000466</c:v>
                </c:pt>
                <c:pt idx="593">
                  <c:v>36.60790000000047</c:v>
                </c:pt>
                <c:pt idx="594">
                  <c:v>36.608000000000473</c:v>
                </c:pt>
                <c:pt idx="595">
                  <c:v>36.608100000000476</c:v>
                </c:pt>
                <c:pt idx="596">
                  <c:v>36.60820000000048</c:v>
                </c:pt>
                <c:pt idx="597">
                  <c:v>36.608300000000483</c:v>
                </c:pt>
                <c:pt idx="598">
                  <c:v>36.608400000000486</c:v>
                </c:pt>
                <c:pt idx="599">
                  <c:v>36.60850000000049</c:v>
                </c:pt>
                <c:pt idx="600">
                  <c:v>36.608600000000493</c:v>
                </c:pt>
                <c:pt idx="601">
                  <c:v>36.608700000000496</c:v>
                </c:pt>
                <c:pt idx="602">
                  <c:v>36.6088000000005</c:v>
                </c:pt>
                <c:pt idx="603">
                  <c:v>36.608900000000503</c:v>
                </c:pt>
                <c:pt idx="604">
                  <c:v>36.609000000000506</c:v>
                </c:pt>
                <c:pt idx="605">
                  <c:v>36.60910000000051</c:v>
                </c:pt>
                <c:pt idx="606">
                  <c:v>36.609200000000513</c:v>
                </c:pt>
                <c:pt idx="607">
                  <c:v>36.609300000000516</c:v>
                </c:pt>
                <c:pt idx="608">
                  <c:v>36.60940000000052</c:v>
                </c:pt>
                <c:pt idx="609">
                  <c:v>36.609500000000523</c:v>
                </c:pt>
                <c:pt idx="610">
                  <c:v>36.609600000000526</c:v>
                </c:pt>
                <c:pt idx="611">
                  <c:v>36.609700000000529</c:v>
                </c:pt>
                <c:pt idx="612">
                  <c:v>36.609800000000533</c:v>
                </c:pt>
                <c:pt idx="613">
                  <c:v>36.609900000000536</c:v>
                </c:pt>
                <c:pt idx="614">
                  <c:v>36.610000000000539</c:v>
                </c:pt>
                <c:pt idx="615">
                  <c:v>36.610100000000543</c:v>
                </c:pt>
                <c:pt idx="616">
                  <c:v>36.610200000000546</c:v>
                </c:pt>
                <c:pt idx="617">
                  <c:v>36.610300000000549</c:v>
                </c:pt>
                <c:pt idx="618">
                  <c:v>36.610400000000553</c:v>
                </c:pt>
                <c:pt idx="619">
                  <c:v>36.610500000000556</c:v>
                </c:pt>
                <c:pt idx="620">
                  <c:v>36.610600000000559</c:v>
                </c:pt>
                <c:pt idx="621">
                  <c:v>36.610700000000563</c:v>
                </c:pt>
                <c:pt idx="622">
                  <c:v>36.610800000000566</c:v>
                </c:pt>
                <c:pt idx="623">
                  <c:v>36.610900000000569</c:v>
                </c:pt>
                <c:pt idx="624">
                  <c:v>36.611000000000573</c:v>
                </c:pt>
                <c:pt idx="625">
                  <c:v>36.611100000000576</c:v>
                </c:pt>
                <c:pt idx="626">
                  <c:v>36.611200000000579</c:v>
                </c:pt>
                <c:pt idx="627">
                  <c:v>36.611300000000583</c:v>
                </c:pt>
                <c:pt idx="628">
                  <c:v>36.611400000000586</c:v>
                </c:pt>
                <c:pt idx="629">
                  <c:v>36.611500000000589</c:v>
                </c:pt>
                <c:pt idx="630">
                  <c:v>36.611600000000593</c:v>
                </c:pt>
                <c:pt idx="631">
                  <c:v>36.611700000000596</c:v>
                </c:pt>
                <c:pt idx="632">
                  <c:v>36.611800000000599</c:v>
                </c:pt>
                <c:pt idx="633">
                  <c:v>36.611900000000603</c:v>
                </c:pt>
                <c:pt idx="634">
                  <c:v>36.612000000000606</c:v>
                </c:pt>
                <c:pt idx="635">
                  <c:v>36.612100000000609</c:v>
                </c:pt>
                <c:pt idx="636">
                  <c:v>36.612200000000612</c:v>
                </c:pt>
                <c:pt idx="637">
                  <c:v>36.612300000000616</c:v>
                </c:pt>
                <c:pt idx="638">
                  <c:v>36.612400000000619</c:v>
                </c:pt>
                <c:pt idx="639">
                  <c:v>36.612500000000622</c:v>
                </c:pt>
                <c:pt idx="640">
                  <c:v>36.612600000000626</c:v>
                </c:pt>
                <c:pt idx="641">
                  <c:v>36.612700000000629</c:v>
                </c:pt>
                <c:pt idx="642">
                  <c:v>36.612800000000632</c:v>
                </c:pt>
                <c:pt idx="643">
                  <c:v>36.612900000000636</c:v>
                </c:pt>
                <c:pt idx="644">
                  <c:v>36.613000000000639</c:v>
                </c:pt>
                <c:pt idx="645">
                  <c:v>36.613100000000642</c:v>
                </c:pt>
                <c:pt idx="646">
                  <c:v>36.613200000000646</c:v>
                </c:pt>
                <c:pt idx="647">
                  <c:v>36.613300000000649</c:v>
                </c:pt>
                <c:pt idx="648">
                  <c:v>36.613400000000652</c:v>
                </c:pt>
                <c:pt idx="649">
                  <c:v>36.613500000000656</c:v>
                </c:pt>
                <c:pt idx="650">
                  <c:v>36.613600000000659</c:v>
                </c:pt>
                <c:pt idx="651">
                  <c:v>36.613700000000662</c:v>
                </c:pt>
                <c:pt idx="652">
                  <c:v>36.613800000000666</c:v>
                </c:pt>
                <c:pt idx="653">
                  <c:v>36.613900000000669</c:v>
                </c:pt>
                <c:pt idx="654">
                  <c:v>36.614000000000672</c:v>
                </c:pt>
                <c:pt idx="655">
                  <c:v>36.614100000000676</c:v>
                </c:pt>
                <c:pt idx="656">
                  <c:v>36.614200000000679</c:v>
                </c:pt>
                <c:pt idx="657">
                  <c:v>36.614300000000682</c:v>
                </c:pt>
                <c:pt idx="658">
                  <c:v>36.614400000000686</c:v>
                </c:pt>
                <c:pt idx="659">
                  <c:v>36.614500000000689</c:v>
                </c:pt>
                <c:pt idx="660">
                  <c:v>36.614600000000692</c:v>
                </c:pt>
                <c:pt idx="661">
                  <c:v>36.614700000000695</c:v>
                </c:pt>
                <c:pt idx="662">
                  <c:v>36.614800000000699</c:v>
                </c:pt>
                <c:pt idx="663">
                  <c:v>36.614900000000702</c:v>
                </c:pt>
                <c:pt idx="664">
                  <c:v>36.615000000000705</c:v>
                </c:pt>
                <c:pt idx="665">
                  <c:v>36.615100000000709</c:v>
                </c:pt>
                <c:pt idx="666">
                  <c:v>36.615200000000712</c:v>
                </c:pt>
                <c:pt idx="667">
                  <c:v>36.615300000000715</c:v>
                </c:pt>
                <c:pt idx="668">
                  <c:v>36.615400000000719</c:v>
                </c:pt>
                <c:pt idx="669">
                  <c:v>36.615500000000722</c:v>
                </c:pt>
                <c:pt idx="670">
                  <c:v>36.615600000000725</c:v>
                </c:pt>
                <c:pt idx="671">
                  <c:v>36.615700000000729</c:v>
                </c:pt>
                <c:pt idx="672">
                  <c:v>36.615800000000732</c:v>
                </c:pt>
                <c:pt idx="673">
                  <c:v>36.615900000000735</c:v>
                </c:pt>
                <c:pt idx="674">
                  <c:v>36.616000000000739</c:v>
                </c:pt>
                <c:pt idx="675">
                  <c:v>36.616100000000742</c:v>
                </c:pt>
                <c:pt idx="676">
                  <c:v>36.616200000000745</c:v>
                </c:pt>
                <c:pt idx="677">
                  <c:v>36.616300000000749</c:v>
                </c:pt>
                <c:pt idx="678">
                  <c:v>36.616400000000752</c:v>
                </c:pt>
                <c:pt idx="679">
                  <c:v>36.616500000000755</c:v>
                </c:pt>
                <c:pt idx="680">
                  <c:v>36.616600000000759</c:v>
                </c:pt>
                <c:pt idx="681">
                  <c:v>36.616700000000762</c:v>
                </c:pt>
                <c:pt idx="682">
                  <c:v>36.616800000000765</c:v>
                </c:pt>
                <c:pt idx="683">
                  <c:v>36.616900000000769</c:v>
                </c:pt>
                <c:pt idx="684">
                  <c:v>36.617000000000772</c:v>
                </c:pt>
                <c:pt idx="685">
                  <c:v>36.617100000000775</c:v>
                </c:pt>
                <c:pt idx="686">
                  <c:v>36.617200000000778</c:v>
                </c:pt>
                <c:pt idx="687">
                  <c:v>36.617300000000782</c:v>
                </c:pt>
                <c:pt idx="688">
                  <c:v>36.617400000000785</c:v>
                </c:pt>
                <c:pt idx="689">
                  <c:v>36.617500000000788</c:v>
                </c:pt>
                <c:pt idx="690">
                  <c:v>36.617600000000792</c:v>
                </c:pt>
                <c:pt idx="691">
                  <c:v>36.617700000000795</c:v>
                </c:pt>
                <c:pt idx="692">
                  <c:v>36.617800000000798</c:v>
                </c:pt>
                <c:pt idx="693">
                  <c:v>36.617900000000802</c:v>
                </c:pt>
                <c:pt idx="694">
                  <c:v>36.618000000000805</c:v>
                </c:pt>
                <c:pt idx="695">
                  <c:v>36.618100000000808</c:v>
                </c:pt>
                <c:pt idx="696">
                  <c:v>36.618200000000812</c:v>
                </c:pt>
                <c:pt idx="697">
                  <c:v>36.618300000000815</c:v>
                </c:pt>
                <c:pt idx="698">
                  <c:v>36.618400000000818</c:v>
                </c:pt>
                <c:pt idx="699">
                  <c:v>36.618500000000822</c:v>
                </c:pt>
                <c:pt idx="700">
                  <c:v>36.618600000000825</c:v>
                </c:pt>
                <c:pt idx="701">
                  <c:v>36.618700000000828</c:v>
                </c:pt>
                <c:pt idx="702">
                  <c:v>36.618800000000832</c:v>
                </c:pt>
                <c:pt idx="703">
                  <c:v>36.618900000000835</c:v>
                </c:pt>
                <c:pt idx="704">
                  <c:v>36.619000000000838</c:v>
                </c:pt>
                <c:pt idx="705">
                  <c:v>36.619100000000842</c:v>
                </c:pt>
                <c:pt idx="706">
                  <c:v>36.619200000000845</c:v>
                </c:pt>
                <c:pt idx="707">
                  <c:v>36.619300000000848</c:v>
                </c:pt>
                <c:pt idx="708">
                  <c:v>36.619400000000851</c:v>
                </c:pt>
                <c:pt idx="709">
                  <c:v>36.619500000000855</c:v>
                </c:pt>
                <c:pt idx="710">
                  <c:v>36.619600000000858</c:v>
                </c:pt>
                <c:pt idx="711">
                  <c:v>36.619700000000861</c:v>
                </c:pt>
                <c:pt idx="712">
                  <c:v>36.619800000000865</c:v>
                </c:pt>
                <c:pt idx="713">
                  <c:v>36.619900000000868</c:v>
                </c:pt>
                <c:pt idx="714">
                  <c:v>36.620000000000871</c:v>
                </c:pt>
                <c:pt idx="715">
                  <c:v>36.620100000000875</c:v>
                </c:pt>
                <c:pt idx="716">
                  <c:v>36.620200000000878</c:v>
                </c:pt>
                <c:pt idx="717">
                  <c:v>36.620300000000881</c:v>
                </c:pt>
                <c:pt idx="718">
                  <c:v>36.620400000000885</c:v>
                </c:pt>
                <c:pt idx="719">
                  <c:v>36.620500000000888</c:v>
                </c:pt>
                <c:pt idx="720">
                  <c:v>36.620600000000891</c:v>
                </c:pt>
                <c:pt idx="721">
                  <c:v>36.620700000000895</c:v>
                </c:pt>
                <c:pt idx="722">
                  <c:v>36.620800000000898</c:v>
                </c:pt>
                <c:pt idx="723">
                  <c:v>36.620900000000901</c:v>
                </c:pt>
                <c:pt idx="724">
                  <c:v>36.621000000000905</c:v>
                </c:pt>
                <c:pt idx="725">
                  <c:v>36.621100000000908</c:v>
                </c:pt>
                <c:pt idx="726">
                  <c:v>36.621200000000911</c:v>
                </c:pt>
                <c:pt idx="727">
                  <c:v>36.621300000000915</c:v>
                </c:pt>
                <c:pt idx="728">
                  <c:v>36.621400000000918</c:v>
                </c:pt>
                <c:pt idx="729">
                  <c:v>36.621500000000921</c:v>
                </c:pt>
                <c:pt idx="730">
                  <c:v>36.621600000000925</c:v>
                </c:pt>
                <c:pt idx="731">
                  <c:v>36.621700000000928</c:v>
                </c:pt>
                <c:pt idx="732">
                  <c:v>36.621800000000931</c:v>
                </c:pt>
                <c:pt idx="733">
                  <c:v>36.621900000000934</c:v>
                </c:pt>
                <c:pt idx="734">
                  <c:v>36.622000000000938</c:v>
                </c:pt>
                <c:pt idx="735">
                  <c:v>36.622100000000941</c:v>
                </c:pt>
                <c:pt idx="736">
                  <c:v>36.622200000000944</c:v>
                </c:pt>
                <c:pt idx="737">
                  <c:v>36.622300000000948</c:v>
                </c:pt>
                <c:pt idx="738">
                  <c:v>36.622400000000951</c:v>
                </c:pt>
                <c:pt idx="739">
                  <c:v>36.622500000000954</c:v>
                </c:pt>
                <c:pt idx="740">
                  <c:v>36.622600000000958</c:v>
                </c:pt>
                <c:pt idx="741">
                  <c:v>36.622700000000961</c:v>
                </c:pt>
                <c:pt idx="742">
                  <c:v>36.622800000000964</c:v>
                </c:pt>
                <c:pt idx="743">
                  <c:v>36.622900000000968</c:v>
                </c:pt>
                <c:pt idx="744">
                  <c:v>36.623000000000971</c:v>
                </c:pt>
                <c:pt idx="745">
                  <c:v>36.623100000000974</c:v>
                </c:pt>
                <c:pt idx="746">
                  <c:v>36.623200000000978</c:v>
                </c:pt>
                <c:pt idx="747">
                  <c:v>36.623300000000981</c:v>
                </c:pt>
                <c:pt idx="748">
                  <c:v>36.623400000000984</c:v>
                </c:pt>
                <c:pt idx="749">
                  <c:v>36.623500000000988</c:v>
                </c:pt>
                <c:pt idx="750">
                  <c:v>36.623600000000991</c:v>
                </c:pt>
                <c:pt idx="751">
                  <c:v>36.623700000000994</c:v>
                </c:pt>
                <c:pt idx="752">
                  <c:v>36.623800000000998</c:v>
                </c:pt>
                <c:pt idx="753">
                  <c:v>36.623900000001001</c:v>
                </c:pt>
                <c:pt idx="754">
                  <c:v>36.624000000001004</c:v>
                </c:pt>
                <c:pt idx="755">
                  <c:v>36.624100000001008</c:v>
                </c:pt>
                <c:pt idx="756">
                  <c:v>36.624200000001011</c:v>
                </c:pt>
                <c:pt idx="757">
                  <c:v>36.624300000001014</c:v>
                </c:pt>
                <c:pt idx="758">
                  <c:v>36.624400000001017</c:v>
                </c:pt>
                <c:pt idx="759">
                  <c:v>36.624500000001021</c:v>
                </c:pt>
                <c:pt idx="760">
                  <c:v>36.624600000001024</c:v>
                </c:pt>
                <c:pt idx="761">
                  <c:v>36.624700000001027</c:v>
                </c:pt>
                <c:pt idx="762">
                  <c:v>36.624800000001031</c:v>
                </c:pt>
                <c:pt idx="763">
                  <c:v>36.624900000001034</c:v>
                </c:pt>
                <c:pt idx="764">
                  <c:v>36.625000000001037</c:v>
                </c:pt>
                <c:pt idx="765">
                  <c:v>36.625100000001041</c:v>
                </c:pt>
                <c:pt idx="766">
                  <c:v>36.625200000001044</c:v>
                </c:pt>
                <c:pt idx="767">
                  <c:v>36.625300000001047</c:v>
                </c:pt>
                <c:pt idx="768">
                  <c:v>36.625400000001051</c:v>
                </c:pt>
                <c:pt idx="769">
                  <c:v>36.625500000001054</c:v>
                </c:pt>
                <c:pt idx="770">
                  <c:v>36.625600000001057</c:v>
                </c:pt>
                <c:pt idx="771">
                  <c:v>36.625700000001061</c:v>
                </c:pt>
                <c:pt idx="772">
                  <c:v>36.625800000001064</c:v>
                </c:pt>
                <c:pt idx="773">
                  <c:v>36.625900000001067</c:v>
                </c:pt>
                <c:pt idx="774">
                  <c:v>36.626000000001071</c:v>
                </c:pt>
                <c:pt idx="775">
                  <c:v>36.626100000001074</c:v>
                </c:pt>
                <c:pt idx="776">
                  <c:v>36.626200000001077</c:v>
                </c:pt>
                <c:pt idx="777">
                  <c:v>36.626300000001081</c:v>
                </c:pt>
                <c:pt idx="778">
                  <c:v>36.626400000001084</c:v>
                </c:pt>
                <c:pt idx="779">
                  <c:v>36.626500000001087</c:v>
                </c:pt>
                <c:pt idx="780">
                  <c:v>36.626600000001091</c:v>
                </c:pt>
                <c:pt idx="781">
                  <c:v>36.626700000001094</c:v>
                </c:pt>
                <c:pt idx="782">
                  <c:v>36.626800000001097</c:v>
                </c:pt>
                <c:pt idx="783">
                  <c:v>36.6269000000011</c:v>
                </c:pt>
                <c:pt idx="784">
                  <c:v>36.627000000001104</c:v>
                </c:pt>
                <c:pt idx="785">
                  <c:v>36.627100000001107</c:v>
                </c:pt>
                <c:pt idx="786">
                  <c:v>36.62720000000111</c:v>
                </c:pt>
                <c:pt idx="787">
                  <c:v>36.627300000001114</c:v>
                </c:pt>
                <c:pt idx="788">
                  <c:v>36.627400000001117</c:v>
                </c:pt>
                <c:pt idx="789">
                  <c:v>36.62750000000112</c:v>
                </c:pt>
                <c:pt idx="790">
                  <c:v>36.627600000001124</c:v>
                </c:pt>
                <c:pt idx="791">
                  <c:v>36.627700000001127</c:v>
                </c:pt>
                <c:pt idx="792">
                  <c:v>36.62780000000113</c:v>
                </c:pt>
                <c:pt idx="793">
                  <c:v>36.627900000001134</c:v>
                </c:pt>
                <c:pt idx="794">
                  <c:v>36.628000000001137</c:v>
                </c:pt>
                <c:pt idx="795">
                  <c:v>36.62810000000114</c:v>
                </c:pt>
                <c:pt idx="796">
                  <c:v>36.628200000001144</c:v>
                </c:pt>
                <c:pt idx="797">
                  <c:v>36.628300000001147</c:v>
                </c:pt>
                <c:pt idx="798">
                  <c:v>36.62840000000115</c:v>
                </c:pt>
                <c:pt idx="799">
                  <c:v>36.628500000001154</c:v>
                </c:pt>
                <c:pt idx="800">
                  <c:v>36.628600000001157</c:v>
                </c:pt>
                <c:pt idx="801">
                  <c:v>36.62870000000116</c:v>
                </c:pt>
                <c:pt idx="802">
                  <c:v>36.628800000001164</c:v>
                </c:pt>
                <c:pt idx="803">
                  <c:v>36.628900000001167</c:v>
                </c:pt>
                <c:pt idx="804">
                  <c:v>36.62900000000117</c:v>
                </c:pt>
                <c:pt idx="805">
                  <c:v>36.629100000001173</c:v>
                </c:pt>
                <c:pt idx="806">
                  <c:v>36.629200000001177</c:v>
                </c:pt>
                <c:pt idx="807">
                  <c:v>36.62930000000118</c:v>
                </c:pt>
                <c:pt idx="808">
                  <c:v>36.629400000001183</c:v>
                </c:pt>
                <c:pt idx="809">
                  <c:v>36.629500000001187</c:v>
                </c:pt>
                <c:pt idx="810">
                  <c:v>36.62960000000119</c:v>
                </c:pt>
                <c:pt idx="811">
                  <c:v>36.629700000001193</c:v>
                </c:pt>
                <c:pt idx="812">
                  <c:v>36.629800000001197</c:v>
                </c:pt>
                <c:pt idx="813">
                  <c:v>36.6299000000012</c:v>
                </c:pt>
                <c:pt idx="814">
                  <c:v>36.630000000001203</c:v>
                </c:pt>
                <c:pt idx="815">
                  <c:v>36.630100000001207</c:v>
                </c:pt>
                <c:pt idx="816">
                  <c:v>36.63020000000121</c:v>
                </c:pt>
                <c:pt idx="817">
                  <c:v>36.630300000001213</c:v>
                </c:pt>
                <c:pt idx="818">
                  <c:v>36.630400000001217</c:v>
                </c:pt>
                <c:pt idx="819">
                  <c:v>36.63050000000122</c:v>
                </c:pt>
                <c:pt idx="820">
                  <c:v>36.630600000001223</c:v>
                </c:pt>
                <c:pt idx="821">
                  <c:v>36.630700000001227</c:v>
                </c:pt>
                <c:pt idx="822">
                  <c:v>36.63080000000123</c:v>
                </c:pt>
                <c:pt idx="823">
                  <c:v>36.630900000001233</c:v>
                </c:pt>
                <c:pt idx="824">
                  <c:v>36.631000000001237</c:v>
                </c:pt>
                <c:pt idx="825">
                  <c:v>36.63110000000124</c:v>
                </c:pt>
                <c:pt idx="826">
                  <c:v>36.631200000001243</c:v>
                </c:pt>
                <c:pt idx="827">
                  <c:v>36.631300000001247</c:v>
                </c:pt>
                <c:pt idx="828">
                  <c:v>36.63140000000125</c:v>
                </c:pt>
                <c:pt idx="829">
                  <c:v>36.631500000001253</c:v>
                </c:pt>
                <c:pt idx="830">
                  <c:v>36.631600000001256</c:v>
                </c:pt>
                <c:pt idx="831">
                  <c:v>36.63170000000126</c:v>
                </c:pt>
                <c:pt idx="832">
                  <c:v>36.631800000001263</c:v>
                </c:pt>
                <c:pt idx="833">
                  <c:v>36.631900000001266</c:v>
                </c:pt>
                <c:pt idx="834">
                  <c:v>36.63200000000127</c:v>
                </c:pt>
                <c:pt idx="835">
                  <c:v>36.632100000001273</c:v>
                </c:pt>
                <c:pt idx="836">
                  <c:v>36.632200000001276</c:v>
                </c:pt>
                <c:pt idx="837">
                  <c:v>36.63230000000128</c:v>
                </c:pt>
                <c:pt idx="838">
                  <c:v>36.632400000001283</c:v>
                </c:pt>
                <c:pt idx="839">
                  <c:v>36.632500000001286</c:v>
                </c:pt>
                <c:pt idx="840">
                  <c:v>36.63260000000129</c:v>
                </c:pt>
                <c:pt idx="841">
                  <c:v>36.632700000001293</c:v>
                </c:pt>
                <c:pt idx="842">
                  <c:v>36.632800000001296</c:v>
                </c:pt>
                <c:pt idx="843">
                  <c:v>36.6329000000013</c:v>
                </c:pt>
                <c:pt idx="844">
                  <c:v>36.633000000001303</c:v>
                </c:pt>
                <c:pt idx="845">
                  <c:v>36.633100000001306</c:v>
                </c:pt>
                <c:pt idx="846">
                  <c:v>36.63320000000131</c:v>
                </c:pt>
                <c:pt idx="847">
                  <c:v>36.633300000001313</c:v>
                </c:pt>
                <c:pt idx="848">
                  <c:v>36.633400000001316</c:v>
                </c:pt>
                <c:pt idx="849">
                  <c:v>36.63350000000132</c:v>
                </c:pt>
                <c:pt idx="850">
                  <c:v>36.633600000001323</c:v>
                </c:pt>
                <c:pt idx="851">
                  <c:v>36.633700000001326</c:v>
                </c:pt>
                <c:pt idx="852">
                  <c:v>36.63380000000133</c:v>
                </c:pt>
                <c:pt idx="853">
                  <c:v>36.633900000001333</c:v>
                </c:pt>
                <c:pt idx="854">
                  <c:v>36.634000000001336</c:v>
                </c:pt>
                <c:pt idx="855">
                  <c:v>36.634100000001339</c:v>
                </c:pt>
                <c:pt idx="856">
                  <c:v>36.634200000001343</c:v>
                </c:pt>
                <c:pt idx="857">
                  <c:v>36.634300000001346</c:v>
                </c:pt>
                <c:pt idx="858">
                  <c:v>36.634400000001349</c:v>
                </c:pt>
                <c:pt idx="859">
                  <c:v>36.634500000001353</c:v>
                </c:pt>
                <c:pt idx="860">
                  <c:v>36.634600000001356</c:v>
                </c:pt>
                <c:pt idx="861">
                  <c:v>36.634700000001359</c:v>
                </c:pt>
                <c:pt idx="862">
                  <c:v>36.634800000001363</c:v>
                </c:pt>
                <c:pt idx="863">
                  <c:v>36.634900000001366</c:v>
                </c:pt>
                <c:pt idx="864">
                  <c:v>36.635000000001369</c:v>
                </c:pt>
                <c:pt idx="865">
                  <c:v>36.635100000001373</c:v>
                </c:pt>
                <c:pt idx="866">
                  <c:v>36.635200000001376</c:v>
                </c:pt>
                <c:pt idx="867">
                  <c:v>36.635300000001379</c:v>
                </c:pt>
                <c:pt idx="868">
                  <c:v>36.635400000001383</c:v>
                </c:pt>
                <c:pt idx="869">
                  <c:v>36.635500000001386</c:v>
                </c:pt>
                <c:pt idx="870">
                  <c:v>36.635600000001389</c:v>
                </c:pt>
                <c:pt idx="871">
                  <c:v>36.635700000001393</c:v>
                </c:pt>
                <c:pt idx="872">
                  <c:v>36.635800000001396</c:v>
                </c:pt>
                <c:pt idx="873">
                  <c:v>36.635900000001399</c:v>
                </c:pt>
                <c:pt idx="874">
                  <c:v>36.636000000001403</c:v>
                </c:pt>
                <c:pt idx="875">
                  <c:v>36.636100000001406</c:v>
                </c:pt>
                <c:pt idx="876">
                  <c:v>36.636200000001409</c:v>
                </c:pt>
                <c:pt idx="877">
                  <c:v>36.636300000001413</c:v>
                </c:pt>
                <c:pt idx="878">
                  <c:v>36.636400000001416</c:v>
                </c:pt>
                <c:pt idx="879">
                  <c:v>36.636500000001419</c:v>
                </c:pt>
                <c:pt idx="880">
                  <c:v>36.636600000001422</c:v>
                </c:pt>
                <c:pt idx="881">
                  <c:v>36.636700000001426</c:v>
                </c:pt>
                <c:pt idx="882">
                  <c:v>36.636800000001429</c:v>
                </c:pt>
                <c:pt idx="883">
                  <c:v>36.636900000001432</c:v>
                </c:pt>
                <c:pt idx="884">
                  <c:v>36.637000000001436</c:v>
                </c:pt>
                <c:pt idx="885">
                  <c:v>36.637100000001439</c:v>
                </c:pt>
                <c:pt idx="886">
                  <c:v>36.637200000001442</c:v>
                </c:pt>
                <c:pt idx="887">
                  <c:v>36.637300000001446</c:v>
                </c:pt>
                <c:pt idx="888">
                  <c:v>36.637400000001449</c:v>
                </c:pt>
                <c:pt idx="889">
                  <c:v>36.637500000001452</c:v>
                </c:pt>
                <c:pt idx="890">
                  <c:v>36.637600000001456</c:v>
                </c:pt>
                <c:pt idx="891">
                  <c:v>36.637700000001459</c:v>
                </c:pt>
                <c:pt idx="892">
                  <c:v>36.637800000001462</c:v>
                </c:pt>
                <c:pt idx="893">
                  <c:v>36.637900000001466</c:v>
                </c:pt>
                <c:pt idx="894">
                  <c:v>36.638000000001469</c:v>
                </c:pt>
                <c:pt idx="895">
                  <c:v>36.638100000001472</c:v>
                </c:pt>
                <c:pt idx="896">
                  <c:v>36.638200000001476</c:v>
                </c:pt>
                <c:pt idx="897">
                  <c:v>36.638300000001479</c:v>
                </c:pt>
                <c:pt idx="898">
                  <c:v>36.638400000001482</c:v>
                </c:pt>
                <c:pt idx="899">
                  <c:v>36.638500000001486</c:v>
                </c:pt>
                <c:pt idx="900">
                  <c:v>36.638600000001489</c:v>
                </c:pt>
                <c:pt idx="901">
                  <c:v>36.638700000001492</c:v>
                </c:pt>
                <c:pt idx="902">
                  <c:v>36.638800000001496</c:v>
                </c:pt>
                <c:pt idx="903">
                  <c:v>36.638900000001499</c:v>
                </c:pt>
                <c:pt idx="904">
                  <c:v>36.639000000001502</c:v>
                </c:pt>
                <c:pt idx="905">
                  <c:v>36.639100000001505</c:v>
                </c:pt>
                <c:pt idx="906">
                  <c:v>36.639200000001509</c:v>
                </c:pt>
                <c:pt idx="907">
                  <c:v>36.639300000001512</c:v>
                </c:pt>
                <c:pt idx="908">
                  <c:v>36.639400000001515</c:v>
                </c:pt>
                <c:pt idx="909">
                  <c:v>36.639500000001519</c:v>
                </c:pt>
                <c:pt idx="910">
                  <c:v>36.639600000001522</c:v>
                </c:pt>
                <c:pt idx="911">
                  <c:v>36.639700000001525</c:v>
                </c:pt>
                <c:pt idx="912">
                  <c:v>36.639800000001529</c:v>
                </c:pt>
                <c:pt idx="913">
                  <c:v>36.639900000001532</c:v>
                </c:pt>
                <c:pt idx="914">
                  <c:v>36.640000000001535</c:v>
                </c:pt>
                <c:pt idx="915">
                  <c:v>36.640100000001539</c:v>
                </c:pt>
                <c:pt idx="916">
                  <c:v>36.640200000001542</c:v>
                </c:pt>
                <c:pt idx="917">
                  <c:v>36.640300000001545</c:v>
                </c:pt>
                <c:pt idx="918">
                  <c:v>36.640400000001549</c:v>
                </c:pt>
                <c:pt idx="919">
                  <c:v>36.640500000001552</c:v>
                </c:pt>
                <c:pt idx="920">
                  <c:v>36.640600000001555</c:v>
                </c:pt>
                <c:pt idx="921">
                  <c:v>36.640700000001559</c:v>
                </c:pt>
                <c:pt idx="922">
                  <c:v>36.640800000001562</c:v>
                </c:pt>
                <c:pt idx="923">
                  <c:v>36.640900000001565</c:v>
                </c:pt>
                <c:pt idx="924">
                  <c:v>36.641000000001569</c:v>
                </c:pt>
                <c:pt idx="925">
                  <c:v>36.641100000001572</c:v>
                </c:pt>
                <c:pt idx="926">
                  <c:v>36.641200000001575</c:v>
                </c:pt>
                <c:pt idx="927">
                  <c:v>36.641300000001578</c:v>
                </c:pt>
                <c:pt idx="928">
                  <c:v>36.641400000001582</c:v>
                </c:pt>
                <c:pt idx="929">
                  <c:v>36.641500000001585</c:v>
                </c:pt>
                <c:pt idx="930">
                  <c:v>36.641600000001588</c:v>
                </c:pt>
                <c:pt idx="931">
                  <c:v>36.641700000001592</c:v>
                </c:pt>
                <c:pt idx="932">
                  <c:v>36.641800000001595</c:v>
                </c:pt>
                <c:pt idx="933">
                  <c:v>36.641900000001598</c:v>
                </c:pt>
                <c:pt idx="934">
                  <c:v>36.642000000001602</c:v>
                </c:pt>
                <c:pt idx="935">
                  <c:v>36.642100000001605</c:v>
                </c:pt>
                <c:pt idx="936">
                  <c:v>36.642200000001608</c:v>
                </c:pt>
                <c:pt idx="937">
                  <c:v>36.642300000001612</c:v>
                </c:pt>
                <c:pt idx="938">
                  <c:v>36.642400000001615</c:v>
                </c:pt>
                <c:pt idx="939">
                  <c:v>36.642500000001618</c:v>
                </c:pt>
                <c:pt idx="940">
                  <c:v>36.642600000001622</c:v>
                </c:pt>
                <c:pt idx="941">
                  <c:v>36.642700000001625</c:v>
                </c:pt>
                <c:pt idx="942">
                  <c:v>36.642800000001628</c:v>
                </c:pt>
                <c:pt idx="943">
                  <c:v>36.642900000001632</c:v>
                </c:pt>
                <c:pt idx="944">
                  <c:v>36.643000000001635</c:v>
                </c:pt>
                <c:pt idx="945">
                  <c:v>36.643100000001638</c:v>
                </c:pt>
                <c:pt idx="946">
                  <c:v>36.643200000001642</c:v>
                </c:pt>
                <c:pt idx="947">
                  <c:v>36.643300000001645</c:v>
                </c:pt>
                <c:pt idx="948">
                  <c:v>36.643400000001648</c:v>
                </c:pt>
                <c:pt idx="949">
                  <c:v>36.643500000001652</c:v>
                </c:pt>
                <c:pt idx="950">
                  <c:v>36.643600000001655</c:v>
                </c:pt>
                <c:pt idx="951">
                  <c:v>36.643700000001658</c:v>
                </c:pt>
                <c:pt idx="952">
                  <c:v>36.643800000001661</c:v>
                </c:pt>
                <c:pt idx="953">
                  <c:v>36.643900000001665</c:v>
                </c:pt>
                <c:pt idx="954">
                  <c:v>36.644000000001668</c:v>
                </c:pt>
                <c:pt idx="955">
                  <c:v>36.644100000001671</c:v>
                </c:pt>
                <c:pt idx="956">
                  <c:v>36.644200000001675</c:v>
                </c:pt>
                <c:pt idx="957">
                  <c:v>36.644300000001678</c:v>
                </c:pt>
                <c:pt idx="958">
                  <c:v>36.644400000001681</c:v>
                </c:pt>
                <c:pt idx="959">
                  <c:v>36.644500000001685</c:v>
                </c:pt>
                <c:pt idx="960">
                  <c:v>36.644600000001688</c:v>
                </c:pt>
                <c:pt idx="961">
                  <c:v>36.644700000001691</c:v>
                </c:pt>
                <c:pt idx="962">
                  <c:v>36.644800000001695</c:v>
                </c:pt>
                <c:pt idx="963">
                  <c:v>36.644900000001698</c:v>
                </c:pt>
                <c:pt idx="964">
                  <c:v>36.645000000001701</c:v>
                </c:pt>
                <c:pt idx="965">
                  <c:v>36.645100000001705</c:v>
                </c:pt>
                <c:pt idx="966">
                  <c:v>36.645200000001708</c:v>
                </c:pt>
                <c:pt idx="967">
                  <c:v>36.645300000001711</c:v>
                </c:pt>
                <c:pt idx="968">
                  <c:v>36.645400000001715</c:v>
                </c:pt>
                <c:pt idx="969">
                  <c:v>36.645500000001718</c:v>
                </c:pt>
                <c:pt idx="970">
                  <c:v>36.645600000001721</c:v>
                </c:pt>
                <c:pt idx="971">
                  <c:v>36.645700000001725</c:v>
                </c:pt>
                <c:pt idx="972">
                  <c:v>36.645800000001728</c:v>
                </c:pt>
                <c:pt idx="973">
                  <c:v>36.645900000001731</c:v>
                </c:pt>
                <c:pt idx="974">
                  <c:v>36.646000000001735</c:v>
                </c:pt>
                <c:pt idx="975">
                  <c:v>36.646100000001738</c:v>
                </c:pt>
                <c:pt idx="976">
                  <c:v>36.646200000001741</c:v>
                </c:pt>
                <c:pt idx="977">
                  <c:v>36.646300000001744</c:v>
                </c:pt>
                <c:pt idx="978">
                  <c:v>36.646400000001748</c:v>
                </c:pt>
                <c:pt idx="979">
                  <c:v>36.646500000001751</c:v>
                </c:pt>
                <c:pt idx="980">
                  <c:v>36.646600000001754</c:v>
                </c:pt>
                <c:pt idx="981">
                  <c:v>36.646700000001758</c:v>
                </c:pt>
                <c:pt idx="982">
                  <c:v>36.646800000001761</c:v>
                </c:pt>
                <c:pt idx="983">
                  <c:v>36.646900000001764</c:v>
                </c:pt>
                <c:pt idx="984">
                  <c:v>36.647000000001768</c:v>
                </c:pt>
                <c:pt idx="985">
                  <c:v>36.647100000001771</c:v>
                </c:pt>
                <c:pt idx="986">
                  <c:v>36.647200000001774</c:v>
                </c:pt>
                <c:pt idx="987">
                  <c:v>36.647300000001778</c:v>
                </c:pt>
                <c:pt idx="988">
                  <c:v>36.647400000001781</c:v>
                </c:pt>
                <c:pt idx="989">
                  <c:v>36.647500000001784</c:v>
                </c:pt>
                <c:pt idx="990">
                  <c:v>36.647600000001788</c:v>
                </c:pt>
                <c:pt idx="991">
                  <c:v>36.647700000001791</c:v>
                </c:pt>
                <c:pt idx="992">
                  <c:v>36.647800000001794</c:v>
                </c:pt>
                <c:pt idx="993">
                  <c:v>36.647900000001798</c:v>
                </c:pt>
                <c:pt idx="994">
                  <c:v>36.648000000001801</c:v>
                </c:pt>
                <c:pt idx="995">
                  <c:v>36.648100000001804</c:v>
                </c:pt>
                <c:pt idx="996">
                  <c:v>36.648200000001808</c:v>
                </c:pt>
                <c:pt idx="997">
                  <c:v>36.648300000001811</c:v>
                </c:pt>
                <c:pt idx="998">
                  <c:v>36.648400000001814</c:v>
                </c:pt>
                <c:pt idx="999">
                  <c:v>36.648500000001818</c:v>
                </c:pt>
                <c:pt idx="1000">
                  <c:v>36.648600000001821</c:v>
                </c:pt>
              </c:numCache>
            </c:numRef>
          </c:xVal>
          <c:yVal>
            <c:numRef>
              <c:f>Calculs!$K$4:$K$1004</c:f>
              <c:numCache>
                <c:formatCode>0.00</c:formatCode>
                <c:ptCount val="1001"/>
                <c:pt idx="0">
                  <c:v>497.16938386972515</c:v>
                </c:pt>
                <c:pt idx="1">
                  <c:v>498.89571863685381</c:v>
                </c:pt>
                <c:pt idx="2">
                  <c:v>500.62286602706746</c:v>
                </c:pt>
                <c:pt idx="3">
                  <c:v>502.35397500412506</c:v>
                </c:pt>
                <c:pt idx="4">
                  <c:v>504.0896126384792</c:v>
                </c:pt>
                <c:pt idx="5">
                  <c:v>505.82922692069394</c:v>
                </c:pt>
                <c:pt idx="6">
                  <c:v>507.57260713217528</c:v>
                </c:pt>
                <c:pt idx="7">
                  <c:v>509.31971309683456</c:v>
                </c:pt>
                <c:pt idx="8">
                  <c:v>511.0705047042224</c:v>
                </c:pt>
                <c:pt idx="9">
                  <c:v>512.82494191034959</c:v>
                </c:pt>
                <c:pt idx="10">
                  <c:v>514.58298473849538</c:v>
                </c:pt>
                <c:pt idx="11">
                  <c:v>516.34459328000275</c:v>
                </c:pt>
                <c:pt idx="12">
                  <c:v>518.109727695061</c:v>
                </c:pt>
                <c:pt idx="13">
                  <c:v>519.87834821347565</c:v>
                </c:pt>
                <c:pt idx="14">
                  <c:v>521.65041513542531</c:v>
                </c:pt>
                <c:pt idx="15">
                  <c:v>523.4258888322064</c:v>
                </c:pt>
                <c:pt idx="16">
                  <c:v>525.20472974696497</c:v>
                </c:pt>
                <c:pt idx="17">
                  <c:v>526.98689839541555</c:v>
                </c:pt>
                <c:pt idx="18">
                  <c:v>528.77235536654837</c:v>
                </c:pt>
                <c:pt idx="19">
                  <c:v>530.56106132332297</c:v>
                </c:pt>
                <c:pt idx="20">
                  <c:v>532.35297700335036</c:v>
                </c:pt>
                <c:pt idx="21">
                  <c:v>534.14806321956223</c:v>
                </c:pt>
                <c:pt idx="22">
                  <c:v>535.94628086086789</c:v>
                </c:pt>
                <c:pt idx="23">
                  <c:v>537.74759089279883</c:v>
                </c:pt>
                <c:pt idx="24">
                  <c:v>539.5519543581413</c:v>
                </c:pt>
                <c:pt idx="25">
                  <c:v>541.35933237755637</c:v>
                </c:pt>
                <c:pt idx="26">
                  <c:v>543.16968615018823</c:v>
                </c:pt>
                <c:pt idx="27">
                  <c:v>544.98297695425981</c:v>
                </c:pt>
                <c:pt idx="28">
                  <c:v>546.79916614765705</c:v>
                </c:pt>
                <c:pt idx="29">
                  <c:v>548.61821516850068</c:v>
                </c:pt>
                <c:pt idx="30">
                  <c:v>550.44008553570643</c:v>
                </c:pt>
                <c:pt idx="31">
                  <c:v>552.26473884953316</c:v>
                </c:pt>
                <c:pt idx="32">
                  <c:v>554.09213679211916</c:v>
                </c:pt>
                <c:pt idx="33">
                  <c:v>555.92224112800693</c:v>
                </c:pt>
                <c:pt idx="34">
                  <c:v>557.75501370465633</c:v>
                </c:pt>
                <c:pt idx="35">
                  <c:v>559.59041645294565</c:v>
                </c:pt>
                <c:pt idx="36">
                  <c:v>561.42841138766175</c:v>
                </c:pt>
                <c:pt idx="37">
                  <c:v>563.26896060797856</c:v>
                </c:pt>
                <c:pt idx="38">
                  <c:v>565.11202629792365</c:v>
                </c:pt>
                <c:pt idx="39">
                  <c:v>566.95757072683443</c:v>
                </c:pt>
                <c:pt idx="40">
                  <c:v>568.80555624980207</c:v>
                </c:pt>
                <c:pt idx="41">
                  <c:v>570.65594530810483</c:v>
                </c:pt>
                <c:pt idx="42">
                  <c:v>572.50870042963038</c:v>
                </c:pt>
                <c:pt idx="43">
                  <c:v>574.36378422928669</c:v>
                </c:pt>
                <c:pt idx="44">
                  <c:v>576.22115940940182</c:v>
                </c:pt>
                <c:pt idx="45">
                  <c:v>578.08078876011325</c:v>
                </c:pt>
                <c:pt idx="46">
                  <c:v>579.94263515974637</c:v>
                </c:pt>
                <c:pt idx="47">
                  <c:v>581.80666157518158</c:v>
                </c:pt>
                <c:pt idx="48">
                  <c:v>583.67283106221134</c:v>
                </c:pt>
                <c:pt idx="49">
                  <c:v>585.54110676588652</c:v>
                </c:pt>
                <c:pt idx="50">
                  <c:v>587.41145192085196</c:v>
                </c:pt>
                <c:pt idx="51">
                  <c:v>589.28382985167161</c:v>
                </c:pt>
                <c:pt idx="52">
                  <c:v>591.15820397314349</c:v>
                </c:pt>
                <c:pt idx="53">
                  <c:v>593.03453779060419</c:v>
                </c:pt>
                <c:pt idx="54">
                  <c:v>594.91279490022328</c:v>
                </c:pt>
                <c:pt idx="55">
                  <c:v>596.79293898928722</c:v>
                </c:pt>
                <c:pt idx="56">
                  <c:v>598.67493383647388</c:v>
                </c:pt>
                <c:pt idx="57">
                  <c:v>600.55874331211612</c:v>
                </c:pt>
                <c:pt idx="58">
                  <c:v>602.44433137845647</c:v>
                </c:pt>
                <c:pt idx="59">
                  <c:v>604.33166208989121</c:v>
                </c:pt>
                <c:pt idx="60">
                  <c:v>606.22069959320504</c:v>
                </c:pt>
                <c:pt idx="61">
                  <c:v>608.11140812779593</c:v>
                </c:pt>
                <c:pt idx="62">
                  <c:v>610.00375202589078</c:v>
                </c:pt>
                <c:pt idx="63">
                  <c:v>611.89768087486266</c:v>
                </c:pt>
                <c:pt idx="64">
                  <c:v>613.79311471546873</c:v>
                </c:pt>
                <c:pt idx="65">
                  <c:v>615.68995896065621</c:v>
                </c:pt>
                <c:pt idx="66">
                  <c:v>617.58811927899751</c:v>
                </c:pt>
                <c:pt idx="67">
                  <c:v>619.48748799290047</c:v>
                </c:pt>
                <c:pt idx="68">
                  <c:v>621.38793051129596</c:v>
                </c:pt>
                <c:pt idx="69">
                  <c:v>623.28927481555581</c:v>
                </c:pt>
                <c:pt idx="70">
                  <c:v>625.19130097568188</c:v>
                </c:pt>
                <c:pt idx="71">
                  <c:v>627.09376548942146</c:v>
                </c:pt>
                <c:pt idx="72">
                  <c:v>628.99642555996002</c:v>
                </c:pt>
                <c:pt idx="73">
                  <c:v>630.89903910368525</c:v>
                </c:pt>
                <c:pt idx="74">
                  <c:v>632.80136475756046</c:v>
                </c:pt>
                <c:pt idx="75">
                  <c:v>634.70316188611059</c:v>
                </c:pt>
                <c:pt idx="76">
                  <c:v>636.60419058802518</c:v>
                </c:pt>
                <c:pt idx="77">
                  <c:v>638.50421170238076</c:v>
                </c:pt>
                <c:pt idx="78">
                  <c:v>640.40298681448792</c:v>
                </c:pt>
                <c:pt idx="79">
                  <c:v>642.30027826136597</c:v>
                </c:pt>
                <c:pt idx="80">
                  <c:v>644.1958491368498</c:v>
                </c:pt>
                <c:pt idx="81">
                  <c:v>646.08949207993192</c:v>
                </c:pt>
                <c:pt idx="82">
                  <c:v>647.98105796915502</c:v>
                </c:pt>
                <c:pt idx="83">
                  <c:v>649.87042694992761</c:v>
                </c:pt>
                <c:pt idx="84">
                  <c:v>651.75747955317843</c:v>
                </c:pt>
                <c:pt idx="85">
                  <c:v>653.64209669501372</c:v>
                </c:pt>
                <c:pt idx="86">
                  <c:v>655.52415967629292</c:v>
                </c:pt>
                <c:pt idx="87">
                  <c:v>657.40355018212347</c:v>
                </c:pt>
                <c:pt idx="88">
                  <c:v>659.28015028127641</c:v>
                </c:pt>
                <c:pt idx="89">
                  <c:v>661.1538515192068</c:v>
                </c:pt>
                <c:pt idx="90">
                  <c:v>663.02456398013078</c:v>
                </c:pt>
                <c:pt idx="91">
                  <c:v>664.89220713015084</c:v>
                </c:pt>
                <c:pt idx="92">
                  <c:v>666.7567006911047</c:v>
                </c:pt>
                <c:pt idx="93">
                  <c:v>668.61796691311338</c:v>
                </c:pt>
                <c:pt idx="94">
                  <c:v>670.47593283928597</c:v>
                </c:pt>
                <c:pt idx="95">
                  <c:v>672.33052801527538</c:v>
                </c:pt>
                <c:pt idx="96">
                  <c:v>674.18168220664199</c:v>
                </c:pt>
                <c:pt idx="97">
                  <c:v>676.02933449238003</c:v>
                </c:pt>
                <c:pt idx="98">
                  <c:v>677.87344232687974</c:v>
                </c:pt>
                <c:pt idx="99">
                  <c:v>679.71397238116106</c:v>
                </c:pt>
                <c:pt idx="100">
                  <c:v>681.5508914158836</c:v>
                </c:pt>
                <c:pt idx="101">
                  <c:v>683.38416628063533</c:v>
                </c:pt>
                <c:pt idx="102">
                  <c:v>685.21376391321951</c:v>
                </c:pt>
                <c:pt idx="103">
                  <c:v>687.03965133894042</c:v>
                </c:pt>
                <c:pt idx="104">
                  <c:v>688.86179566988733</c:v>
                </c:pt>
                <c:pt idx="105">
                  <c:v>690.68016410421751</c:v>
                </c:pt>
                <c:pt idx="106">
                  <c:v>692.49472392543805</c:v>
                </c:pt>
                <c:pt idx="107">
                  <c:v>694.30544250168589</c:v>
                </c:pt>
                <c:pt idx="108">
                  <c:v>696.11228728500714</c:v>
                </c:pt>
                <c:pt idx="109">
                  <c:v>697.91523717679945</c:v>
                </c:pt>
                <c:pt idx="110">
                  <c:v>699.7142938537495</c:v>
                </c:pt>
                <c:pt idx="111">
                  <c:v>701.50947032298427</c:v>
                </c:pt>
                <c:pt idx="112">
                  <c:v>703.30077951737087</c:v>
                </c:pt>
                <c:pt idx="113">
                  <c:v>705.0882342960798</c:v>
                </c:pt>
                <c:pt idx="114">
                  <c:v>706.87184744514286</c:v>
                </c:pt>
                <c:pt idx="115">
                  <c:v>708.65163167800574</c:v>
                </c:pt>
                <c:pt idx="116">
                  <c:v>710.42759963607534</c:v>
                </c:pt>
                <c:pt idx="117">
                  <c:v>712.19976388926204</c:v>
                </c:pt>
                <c:pt idx="118">
                  <c:v>713.96813693651632</c:v>
                </c:pt>
                <c:pt idx="119">
                  <c:v>715.73273120636122</c:v>
                </c:pt>
                <c:pt idx="120">
                  <c:v>717.49355905741902</c:v>
                </c:pt>
                <c:pt idx="121">
                  <c:v>719.2506327789331</c:v>
                </c:pt>
                <c:pt idx="122">
                  <c:v>721.00396459128535</c:v>
                </c:pt>
                <c:pt idx="123">
                  <c:v>722.75356664650815</c:v>
                </c:pt>
                <c:pt idx="124">
                  <c:v>724.49945102879201</c:v>
                </c:pt>
                <c:pt idx="125">
                  <c:v>726.24162975498814</c:v>
                </c:pt>
                <c:pt idx="126">
                  <c:v>727.98011477510659</c:v>
                </c:pt>
                <c:pt idx="127">
                  <c:v>729.71491797280953</c:v>
                </c:pt>
                <c:pt idx="128">
                  <c:v>731.44605116590037</c:v>
                </c:pt>
                <c:pt idx="129">
                  <c:v>733.1735261068078</c:v>
                </c:pt>
                <c:pt idx="130">
                  <c:v>734.89735448306567</c:v>
                </c:pt>
                <c:pt idx="131">
                  <c:v>736.61754791778844</c:v>
                </c:pt>
                <c:pt idx="132">
                  <c:v>738.3341179701423</c:v>
                </c:pt>
                <c:pt idx="133">
                  <c:v>740.04707613581149</c:v>
                </c:pt>
                <c:pt idx="134">
                  <c:v>741.75643384746127</c:v>
                </c:pt>
                <c:pt idx="135">
                  <c:v>743.46220247519568</c:v>
                </c:pt>
                <c:pt idx="136">
                  <c:v>745.16439332701157</c:v>
                </c:pt>
                <c:pt idx="137">
                  <c:v>746.86301764924883</c:v>
                </c:pt>
                <c:pt idx="138">
                  <c:v>748.55808662703555</c:v>
                </c:pt>
                <c:pt idx="139">
                  <c:v>750.24961138473031</c:v>
                </c:pt>
                <c:pt idx="140">
                  <c:v>751.93760298635937</c:v>
                </c:pt>
                <c:pt idx="141">
                  <c:v>753.62207243605087</c:v>
                </c:pt>
                <c:pt idx="142">
                  <c:v>755.30303067846421</c:v>
                </c:pt>
                <c:pt idx="143">
                  <c:v>756.9804885992163</c:v>
                </c:pt>
                <c:pt idx="144">
                  <c:v>758.6544570253036</c:v>
                </c:pt>
                <c:pt idx="145">
                  <c:v>760.32494672552025</c:v>
                </c:pt>
                <c:pt idx="146">
                  <c:v>761.9919684108728</c:v>
                </c:pt>
                <c:pt idx="147">
                  <c:v>763.65553273499086</c:v>
                </c:pt>
                <c:pt idx="148">
                  <c:v>765.31565029453463</c:v>
                </c:pt>
                <c:pt idx="149">
                  <c:v>766.9723316295981</c:v>
                </c:pt>
                <c:pt idx="150">
                  <c:v>768.62558722410893</c:v>
                </c:pt>
                <c:pt idx="151">
                  <c:v>770.27542750622513</c:v>
                </c:pt>
                <c:pt idx="152">
                  <c:v>771.92186284872776</c:v>
                </c:pt>
                <c:pt idx="153">
                  <c:v>773.56490356941026</c:v>
                </c:pt>
                <c:pt idx="154">
                  <c:v>775.20455993146459</c:v>
                </c:pt>
                <c:pt idx="155">
                  <c:v>776.84084214386348</c:v>
                </c:pt>
                <c:pt idx="156">
                  <c:v>778.47376036173966</c:v>
                </c:pt>
                <c:pt idx="157">
                  <c:v>780.10332468676199</c:v>
                </c:pt>
                <c:pt idx="158">
                  <c:v>781.72954516750758</c:v>
                </c:pt>
                <c:pt idx="159">
                  <c:v>783.35243179983115</c:v>
                </c:pt>
                <c:pt idx="160">
                  <c:v>784.97199452723135</c:v>
                </c:pt>
                <c:pt idx="161">
                  <c:v>786.58824324121304</c:v>
                </c:pt>
                <c:pt idx="162">
                  <c:v>788.2011877816476</c:v>
                </c:pt>
                <c:pt idx="163">
                  <c:v>789.81083793712889</c:v>
                </c:pt>
                <c:pt idx="164">
                  <c:v>791.417203445327</c:v>
                </c:pt>
                <c:pt idx="165">
                  <c:v>793.02029399333867</c:v>
                </c:pt>
                <c:pt idx="166">
                  <c:v>794.62011921803446</c:v>
                </c:pt>
                <c:pt idx="167">
                  <c:v>796.21668870640315</c:v>
                </c:pt>
                <c:pt idx="168">
                  <c:v>797.81001199589298</c:v>
                </c:pt>
                <c:pt idx="169">
                  <c:v>799.40009857475036</c:v>
                </c:pt>
                <c:pt idx="170">
                  <c:v>800.98695788235523</c:v>
                </c:pt>
                <c:pt idx="171">
                  <c:v>802.57059930955359</c:v>
                </c:pt>
                <c:pt idx="172">
                  <c:v>804.15103219898754</c:v>
                </c:pt>
                <c:pt idx="173">
                  <c:v>805.7282658454219</c:v>
                </c:pt>
                <c:pt idx="174">
                  <c:v>807.3023094960688</c:v>
                </c:pt>
                <c:pt idx="175">
                  <c:v>808.8731723509087</c:v>
                </c:pt>
                <c:pt idx="176">
                  <c:v>810.44086356300943</c:v>
                </c:pt>
                <c:pt idx="177">
                  <c:v>812.00539223884175</c:v>
                </c:pt>
                <c:pt idx="178">
                  <c:v>813.56676743859316</c:v>
                </c:pt>
                <c:pt idx="179">
                  <c:v>815.12499817647802</c:v>
                </c:pt>
                <c:pt idx="180">
                  <c:v>816.68009342104597</c:v>
                </c:pt>
                <c:pt idx="181">
                  <c:v>818.23206209548709</c:v>
                </c:pt>
                <c:pt idx="182">
                  <c:v>819.78091307793477</c:v>
                </c:pt>
                <c:pt idx="183">
                  <c:v>821.32665520176624</c:v>
                </c:pt>
                <c:pt idx="184">
                  <c:v>822.86929725590016</c:v>
                </c:pt>
                <c:pt idx="185">
                  <c:v>824.40884798509182</c:v>
                </c:pt>
                <c:pt idx="186">
                  <c:v>825.94531609022613</c:v>
                </c:pt>
                <c:pt idx="187">
                  <c:v>827.47871022860784</c:v>
                </c:pt>
                <c:pt idx="188">
                  <c:v>829.00903901424977</c:v>
                </c:pt>
                <c:pt idx="189">
                  <c:v>830.53631101815802</c:v>
                </c:pt>
                <c:pt idx="190">
                  <c:v>832.0605347686153</c:v>
                </c:pt>
                <c:pt idx="191">
                  <c:v>833.58171875146195</c:v>
                </c:pt>
                <c:pt idx="192">
                  <c:v>835.09987141037402</c:v>
                </c:pt>
                <c:pt idx="193">
                  <c:v>836.61500114713988</c:v>
                </c:pt>
                <c:pt idx="194">
                  <c:v>838.12711632193384</c:v>
                </c:pt>
                <c:pt idx="195">
                  <c:v>839.63622525358812</c:v>
                </c:pt>
                <c:pt idx="196">
                  <c:v>841.14233621986205</c:v>
                </c:pt>
                <c:pt idx="197">
                  <c:v>842.64545745770943</c:v>
                </c:pt>
                <c:pt idx="198">
                  <c:v>844.14559716354347</c:v>
                </c:pt>
                <c:pt idx="199">
                  <c:v>845.64276349349961</c:v>
                </c:pt>
                <c:pt idx="200">
                  <c:v>847.13696456369655</c:v>
                </c:pt>
                <c:pt idx="201">
                  <c:v>861.91651145098501</c:v>
                </c:pt>
                <c:pt idx="202">
                  <c:v>876.40471072443597</c:v>
                </c:pt>
                <c:pt idx="203">
                  <c:v>890.60930823471767</c:v>
                </c:pt>
                <c:pt idx="204">
                  <c:v>904.53768176716221</c:v>
                </c:pt>
                <c:pt idx="205">
                  <c:v>918.19686378102733</c:v>
                </c:pt>
                <c:pt idx="206">
                  <c:v>931.59356239756562</c:v>
                </c:pt>
                <c:pt idx="207">
                  <c:v>944.73418079687815</c:v>
                </c:pt>
                <c:pt idx="208">
                  <c:v>957.62483516666873</c:v>
                </c:pt>
                <c:pt idx="209">
                  <c:v>970.27137133116059</c:v>
                </c:pt>
                <c:pt idx="210">
                  <c:v>982.67938017532163</c:v>
                </c:pt>
                <c:pt idx="211">
                  <c:v>994.85421196794755</c:v>
                </c:pt>
                <c:pt idx="212">
                  <c:v>1006.8009896768708</c:v>
                </c:pt>
                <c:pt idx="213">
                  <c:v>1018.5246213604394</c:v>
                </c:pt>
                <c:pt idx="214">
                  <c:v>1030.0298117112916</c:v>
                </c:pt>
                <c:pt idx="215">
                  <c:v>1041.3210728212212</c:v>
                </c:pt>
                <c:pt idx="216">
                  <c:v>1052.4027342294735</c:v>
                </c:pt>
                <c:pt idx="217">
                  <c:v>1063.2789523110446</c:v>
                </c:pt>
                <c:pt idx="218">
                  <c:v>1073.9537190563881</c:v>
                </c:pt>
                <c:pt idx="219">
                  <c:v>1084.4308702893049</c:v>
                </c:pt>
                <c:pt idx="220">
                  <c:v>1094.7140933656283</c:v>
                </c:pt>
                <c:pt idx="221">
                  <c:v>1104.8069343915781</c:v>
                </c:pt>
                <c:pt idx="222">
                  <c:v>1114.7128049972871</c:v>
                </c:pt>
                <c:pt idx="223">
                  <c:v>1124.4349886979628</c:v>
                </c:pt>
                <c:pt idx="224">
                  <c:v>1133.9766468724047</c:v>
                </c:pt>
                <c:pt idx="225">
                  <c:v>1143.3408243861154</c:v>
                </c:pt>
                <c:pt idx="226">
                  <c:v>1152.5304548839938</c:v>
                </c:pt>
                <c:pt idx="227">
                  <c:v>1161.5483657755656</c:v>
                </c:pt>
                <c:pt idx="228">
                  <c:v>1170.3972829338527</c:v>
                </c:pt>
                <c:pt idx="229">
                  <c:v>1179.0798351273077</c:v>
                </c:pt>
                <c:pt idx="230">
                  <c:v>1187.5985582027042</c:v>
                </c:pt>
                <c:pt idx="231">
                  <c:v>1195.9558990354885</c:v>
                </c:pt>
                <c:pt idx="232">
                  <c:v>1204.1542192628228</c:v>
                </c:pt>
                <c:pt idx="233">
                  <c:v>1212.1957988133934</c:v>
                </c:pt>
                <c:pt idx="234">
                  <c:v>1220.0828392469994</c:v>
                </c:pt>
                <c:pt idx="235">
                  <c:v>1227.8174669159669</c:v>
                </c:pt>
                <c:pt idx="236">
                  <c:v>1235.4017359595475</c:v>
                </c:pt>
                <c:pt idx="237">
                  <c:v>1242.8376311416487</c:v>
                </c:pt>
                <c:pt idx="238">
                  <c:v>1250.1270705414959</c:v>
                </c:pt>
                <c:pt idx="239">
                  <c:v>1257.2719081061441</c:v>
                </c:pt>
                <c:pt idx="240">
                  <c:v>1264.2739360731264</c:v>
                </c:pt>
                <c:pt idx="241">
                  <c:v>1271.1348872709498</c:v>
                </c:pt>
                <c:pt idx="242">
                  <c:v>1277.8564373046145</c:v>
                </c:pt>
                <c:pt idx="243">
                  <c:v>1284.4402066328453</c:v>
                </c:pt>
                <c:pt idx="244">
                  <c:v>1290.8877625432706</c:v>
                </c:pt>
                <c:pt idx="245">
                  <c:v>1297.2006210313668</c:v>
                </c:pt>
                <c:pt idx="246">
                  <c:v>1303.3802485886022</c:v>
                </c:pt>
                <c:pt idx="247">
                  <c:v>1309.4280639048604</c:v>
                </c:pt>
                <c:pt idx="248">
                  <c:v>1315.3454394898936</c:v>
                </c:pt>
                <c:pt idx="249">
                  <c:v>1321.1337032182519</c:v>
                </c:pt>
                <c:pt idx="250">
                  <c:v>1326.7941398018568</c:v>
                </c:pt>
                <c:pt idx="251">
                  <c:v>1332.3279921941271</c:v>
                </c:pt>
                <c:pt idx="252">
                  <c:v>1337.7364629293234</c:v>
                </c:pt>
                <c:pt idx="253">
                  <c:v>1343.020715400557</c:v>
                </c:pt>
                <c:pt idx="254">
                  <c:v>1348.1818750797065</c:v>
                </c:pt>
                <c:pt idx="255">
                  <c:v>1353.2210306822901</c:v>
                </c:pt>
                <c:pt idx="256">
                  <c:v>1358.1392352801724</c:v>
                </c:pt>
                <c:pt idx="257">
                  <c:v>1362.9375073648184</c:v>
                </c:pt>
                <c:pt idx="258">
                  <c:v>1367.6168318636637</c:v>
                </c:pt>
                <c:pt idx="259">
                  <c:v>1372.1781611120282</c:v>
                </c:pt>
                <c:pt idx="260">
                  <c:v>1376.6224157828801</c:v>
                </c:pt>
                <c:pt idx="261">
                  <c:v>1380.9504857766406</c:v>
                </c:pt>
                <c:pt idx="262">
                  <c:v>1385.1632310731152</c:v>
                </c:pt>
                <c:pt idx="263">
                  <c:v>1389.2614825475503</c:v>
                </c:pt>
                <c:pt idx="264">
                  <c:v>1393.2460427527217</c:v>
                </c:pt>
                <c:pt idx="265">
                  <c:v>1397.1176866688968</c:v>
                </c:pt>
                <c:pt idx="266">
                  <c:v>1400.8771624234441</c:v>
                </c:pt>
                <c:pt idx="267">
                  <c:v>1404.5251919818138</c:v>
                </c:pt>
                <c:pt idx="268">
                  <c:v>1408.0624718115669</c:v>
                </c:pt>
                <c:pt idx="269">
                  <c:v>1411.4896735211021</c:v>
                </c:pt>
                <c:pt idx="270">
                  <c:v>1414.8074444747053</c:v>
                </c:pt>
                <c:pt idx="271">
                  <c:v>1418.0164083855402</c:v>
                </c:pt>
                <c:pt idx="272">
                  <c:v>1421.1171658881976</c:v>
                </c:pt>
                <c:pt idx="273">
                  <c:v>1424.1102950924433</c:v>
                </c:pt>
                <c:pt idx="274">
                  <c:v>1426.9963521198263</c:v>
                </c:pt>
                <c:pt idx="275">
                  <c:v>1429.775871624867</c:v>
                </c:pt>
                <c:pt idx="276">
                  <c:v>1432.4493673025966</c:v>
                </c:pt>
                <c:pt idx="277">
                  <c:v>1435.0173323843062</c:v>
                </c:pt>
                <c:pt idx="278">
                  <c:v>1437.480240123466</c:v>
                </c:pt>
                <c:pt idx="279">
                  <c:v>1439.8385442738902</c:v>
                </c:pt>
                <c:pt idx="280">
                  <c:v>1442.0926795623748</c:v>
                </c:pt>
                <c:pt idx="281">
                  <c:v>1444.2430621581937</c:v>
                </c:pt>
                <c:pt idx="282">
                  <c:v>1446.2900901420362</c:v>
                </c:pt>
                <c:pt idx="283">
                  <c:v>1448.2341439771728</c:v>
                </c:pt>
                <c:pt idx="284">
                  <c:v>1450.0755869858763</c:v>
                </c:pt>
                <c:pt idx="285">
                  <c:v>1451.8147658343685</c:v>
                </c:pt>
                <c:pt idx="286">
                  <c:v>1453.4520110298265</c:v>
                </c:pt>
                <c:pt idx="287">
                  <c:v>1454.9876374332403</c:v>
                </c:pt>
                <c:pt idx="288">
                  <c:v>1456.4219447921628</c:v>
                </c:pt>
                <c:pt idx="289">
                  <c:v>1457.7552182976133</c:v>
                </c:pt>
                <c:pt idx="290">
                  <c:v>1458.9877291695527</c:v>
                </c:pt>
                <c:pt idx="291">
                  <c:v>1460.119735275435</c:v>
                </c:pt>
                <c:pt idx="292">
                  <c:v>1461.1514817862901</c:v>
                </c:pt>
                <c:pt idx="293">
                  <c:v>1462.083201874603</c:v>
                </c:pt>
                <c:pt idx="294">
                  <c:v>1462.9151174578424</c:v>
                </c:pt>
                <c:pt idx="295">
                  <c:v>1463.6474399908566</c:v>
                </c:pt>
                <c:pt idx="296">
                  <c:v>1464.2803713094268</c:v>
                </c:pt>
                <c:pt idx="297">
                  <c:v>1464.8141045260568</c:v>
                </c:pt>
                <c:pt idx="298">
                  <c:v>1465.2488249775708</c:v>
                </c:pt>
                <c:pt idx="299">
                  <c:v>1465.5847112223169</c:v>
                </c:pt>
                <c:pt idx="300">
                  <c:v>1465.8219360828161</c:v>
                </c:pt>
                <c:pt idx="301">
                  <c:v>1465.9606677276442</c:v>
                </c:pt>
                <c:pt idx="302">
                  <c:v>1466.0010707843194</c:v>
                </c:pt>
                <c:pt idx="303">
                  <c:v>1465.9433074731642</c:v>
                </c:pt>
                <c:pt idx="304">
                  <c:v>1465.7875387506494</c:v>
                </c:pt>
                <c:pt idx="305">
                  <c:v>1465.5339254497608</c:v>
                </c:pt>
                <c:pt idx="306">
                  <c:v>1465.182629404547</c:v>
                </c:pt>
                <c:pt idx="307">
                  <c:v>1464.7338145462566</c:v>
                </c:pt>
                <c:pt idx="308">
                  <c:v>1464.1876479593079</c:v>
                </c:pt>
                <c:pt idx="309">
                  <c:v>1463.5443008867126</c:v>
                </c:pt>
                <c:pt idx="310">
                  <c:v>1462.8039496763211</c:v>
                </c:pt>
                <c:pt idx="311">
                  <c:v>1461.9667766612552</c:v>
                </c:pt>
                <c:pt idx="312">
                  <c:v>1461.0329709699633</c:v>
                </c:pt>
                <c:pt idx="313">
                  <c:v>1460.0027292633401</c:v>
                </c:pt>
                <c:pt idx="314">
                  <c:v>1458.8762563981816</c:v>
                </c:pt>
                <c:pt idx="315">
                  <c:v>1457.6537660178192</c:v>
                </c:pt>
                <c:pt idx="316">
                  <c:v>1456.3354810720582</c:v>
                </c:pt>
                <c:pt idx="317">
                  <c:v>1454.9216342695106</c:v>
                </c:pt>
                <c:pt idx="318">
                  <c:v>1453.4124684661058</c:v>
                </c:pt>
                <c:pt idx="319">
                  <c:v>1451.8082369939816</c:v>
                </c:pt>
                <c:pt idx="320">
                  <c:v>1450.1092039351695</c:v>
                </c:pt>
                <c:pt idx="321">
                  <c:v>1448.3156443445296</c:v>
                </c:pt>
                <c:pt idx="322">
                  <c:v>1446.4278444262925</c:v>
                </c:pt>
                <c:pt idx="323">
                  <c:v>1444.4461016683847</c:v>
                </c:pt>
                <c:pt idx="324">
                  <c:v>1442.370724938464</c:v>
                </c:pt>
                <c:pt idx="325">
                  <c:v>1440.202034545312</c:v>
                </c:pt>
                <c:pt idx="326">
                  <c:v>1437.9403622689326</c:v>
                </c:pt>
                <c:pt idx="327">
                  <c:v>1435.5860513624064</c:v>
                </c:pt>
                <c:pt idx="328">
                  <c:v>1433.1394565282619</c:v>
                </c:pt>
                <c:pt idx="329">
                  <c:v>1430.6009438718504</c:v>
                </c:pt>
                <c:pt idx="330">
                  <c:v>1427.9708908339576</c:v>
                </c:pt>
                <c:pt idx="331">
                  <c:v>1425.2496861046529</c:v>
                </c:pt>
                <c:pt idx="332">
                  <c:v>1422.4377295201671</c:v>
                </c:pt>
                <c:pt idx="333">
                  <c:v>1419.5354319443991</c:v>
                </c:pt>
                <c:pt idx="334">
                  <c:v>1416.5432151364894</c:v>
                </c:pt>
                <c:pt idx="335">
                  <c:v>1413.461511605745</c:v>
                </c:pt>
                <c:pt idx="336">
                  <c:v>1410.2907644550721</c:v>
                </c:pt>
                <c:pt idx="337">
                  <c:v>1407.0314272139569</c:v>
                </c:pt>
                <c:pt idx="338">
                  <c:v>1403.6839636619377</c:v>
                </c:pt>
                <c:pt idx="339">
                  <c:v>1400.2488476434173</c:v>
                </c:pt>
                <c:pt idx="340">
                  <c:v>1396.7265628745949</c:v>
                </c:pt>
                <c:pt idx="341">
                  <c:v>1393.1176027432225</c:v>
                </c:pt>
                <c:pt idx="342">
                  <c:v>1389.4224701018388</c:v>
                </c:pt>
                <c:pt idx="343">
                  <c:v>1385.6416770550761</c:v>
                </c:pt>
                <c:pt idx="344">
                  <c:v>1381.7757447415947</c:v>
                </c:pt>
                <c:pt idx="345">
                  <c:v>1377.8252031111583</c:v>
                </c:pt>
                <c:pt idx="346">
                  <c:v>1373.7905906973285</c:v>
                </c:pt>
                <c:pt idx="347">
                  <c:v>1369.6724543862269</c:v>
                </c:pt>
                <c:pt idx="348">
                  <c:v>1365.4713491817849</c:v>
                </c:pt>
                <c:pt idx="349">
                  <c:v>1361.187837967879</c:v>
                </c:pt>
                <c:pt idx="350">
                  <c:v>1356.8224912677242</c:v>
                </c:pt>
                <c:pt idx="351">
                  <c:v>1352.3758870008837</c:v>
                </c:pt>
                <c:pt idx="352">
                  <c:v>1347.8486102382299</c:v>
                </c:pt>
                <c:pt idx="353">
                  <c:v>1343.2412529551812</c:v>
                </c:pt>
                <c:pt idx="354">
                  <c:v>1338.5544137835193</c:v>
                </c:pt>
                <c:pt idx="355">
                  <c:v>1333.7886977620844</c:v>
                </c:pt>
                <c:pt idx="356">
                  <c:v>1328.9447160866268</c:v>
                </c:pt>
                <c:pt idx="357">
                  <c:v>1324.0230858590865</c:v>
                </c:pt>
                <c:pt idx="358">
                  <c:v>1319.0244298365599</c:v>
                </c:pt>
                <c:pt idx="359">
                  <c:v>1313.9493761802044</c:v>
                </c:pt>
                <c:pt idx="360">
                  <c:v>1308.7985582043175</c:v>
                </c:pt>
                <c:pt idx="361">
                  <c:v>1303.5726141258235</c:v>
                </c:pt>
                <c:pt idx="362">
                  <c:v>1298.2721868143885</c:v>
                </c:pt>
                <c:pt idx="363">
                  <c:v>1292.8979235433762</c:v>
                </c:pt>
                <c:pt idx="364">
                  <c:v>1287.4504757418517</c:v>
                </c:pt>
                <c:pt idx="365">
                  <c:v>1281.9304987478276</c:v>
                </c:pt>
                <c:pt idx="366">
                  <c:v>1276.3386515629445</c:v>
                </c:pt>
                <c:pt idx="367">
                  <c:v>1270.6755966087658</c:v>
                </c:pt>
                <c:pt idx="368">
                  <c:v>1264.9419994848622</c:v>
                </c:pt>
                <c:pt idx="369">
                  <c:v>1259.1385287288529</c:v>
                </c:pt>
                <c:pt idx="370">
                  <c:v>1253.2658555785631</c:v>
                </c:pt>
                <c:pt idx="371">
                  <c:v>1247.3246537364528</c:v>
                </c:pt>
                <c:pt idx="372">
                  <c:v>1241.315599136459</c:v>
                </c:pt>
                <c:pt idx="373">
                  <c:v>1235.2393697133962</c:v>
                </c:pt>
                <c:pt idx="374">
                  <c:v>1229.0966451750421</c:v>
                </c:pt>
                <c:pt idx="375">
                  <c:v>1222.8881067770401</c:v>
                </c:pt>
                <c:pt idx="376">
                  <c:v>1216.6144371007322</c:v>
                </c:pt>
                <c:pt idx="377">
                  <c:v>1210.2763198340401</c:v>
                </c:pt>
                <c:pt idx="378">
                  <c:v>1203.8744395554993</c:v>
                </c:pt>
                <c:pt idx="379">
                  <c:v>1197.4094815215456</c:v>
                </c:pt>
                <c:pt idx="380">
                  <c:v>1190.8821314571496</c:v>
                </c:pt>
                <c:pt idx="381">
                  <c:v>1184.293075349887</c:v>
                </c:pt>
                <c:pt idx="382">
                  <c:v>1177.6429992475246</c:v>
                </c:pt>
                <c:pt idx="383">
                  <c:v>1170.9325890592027</c:v>
                </c:pt>
                <c:pt idx="384">
                  <c:v>1164.1625303602784</c:v>
                </c:pt>
                <c:pt idx="385">
                  <c:v>1157.3335082008994</c:v>
                </c:pt>
                <c:pt idx="386">
                  <c:v>1150.4462069183635</c:v>
                </c:pt>
                <c:pt idx="387">
                  <c:v>1143.5013099533207</c:v>
                </c:pt>
                <c:pt idx="388">
                  <c:v>1136.499499669862</c:v>
                </c:pt>
                <c:pt idx="389">
                  <c:v>1129.4414571795412</c:v>
                </c:pt>
                <c:pt idx="390">
                  <c:v>1122.3278621693657</c:v>
                </c:pt>
                <c:pt idx="391">
                  <c:v>1115.1593927337885</c:v>
                </c:pt>
                <c:pt idx="392">
                  <c:v>1107.9367252107302</c:v>
                </c:pt>
                <c:pt idx="393">
                  <c:v>1100.6605340216531</c:v>
                </c:pt>
                <c:pt idx="394">
                  <c:v>1093.3314915157066</c:v>
                </c:pt>
                <c:pt idx="395">
                  <c:v>1085.9502678179549</c:v>
                </c:pt>
                <c:pt idx="396">
                  <c:v>1078.5175306817011</c:v>
                </c:pt>
                <c:pt idx="397">
                  <c:v>1071.0339453449076</c:v>
                </c:pt>
                <c:pt idx="398">
                  <c:v>1063.5001743907167</c:v>
                </c:pt>
                <c:pt idx="399">
                  <c:v>1055.9168776120684</c:v>
                </c:pt>
                <c:pt idx="400">
                  <c:v>1048.2847118804068</c:v>
                </c:pt>
                <c:pt idx="401">
                  <c:v>1040.6043310184652</c:v>
                </c:pt>
                <c:pt idx="402">
                  <c:v>1032.876385677117</c:v>
                </c:pt>
                <c:pt idx="403">
                  <c:v>1025.1015232162724</c:v>
                </c:pt>
                <c:pt idx="404">
                  <c:v>1017.2803875898013</c:v>
                </c:pt>
                <c:pt idx="405">
                  <c:v>1009.4136192344587</c:v>
                </c:pt>
                <c:pt idx="406">
                  <c:v>1001.5018549627836</c:v>
                </c:pt>
                <c:pt idx="407">
                  <c:v>993.54572785994355</c:v>
                </c:pt>
                <c:pt idx="408">
                  <c:v>985.54586718449036</c:v>
                </c:pt>
                <c:pt idx="409">
                  <c:v>977.50289827299241</c:v>
                </c:pt>
                <c:pt idx="410">
                  <c:v>969.4174424485052</c:v>
                </c:pt>
                <c:pt idx="411">
                  <c:v>961.29011693284019</c:v>
                </c:pt>
                <c:pt idx="412">
                  <c:v>953.12153476258914</c:v>
                </c:pt>
                <c:pt idx="413">
                  <c:v>944.91230470885955</c:v>
                </c:pt>
                <c:pt idx="414">
                  <c:v>936.66303120067471</c:v>
                </c:pt>
                <c:pt idx="415">
                  <c:v>928.3743142519894</c:v>
                </c:pt>
                <c:pt idx="416">
                  <c:v>920.04674939227209</c:v>
                </c:pt>
                <c:pt idx="417">
                  <c:v>911.68092760060051</c:v>
                </c:pt>
                <c:pt idx="418">
                  <c:v>903.27743524321897</c:v>
                </c:pt>
                <c:pt idx="419">
                  <c:v>894.83685401450157</c:v>
                </c:pt>
                <c:pt idx="420">
                  <c:v>886.35976088126597</c:v>
                </c:pt>
                <c:pt idx="421">
                  <c:v>877.84672803038086</c:v>
                </c:pt>
                <c:pt idx="422">
                  <c:v>869.29832281960842</c:v>
                </c:pt>
                <c:pt idx="423">
                  <c:v>860.71510773162379</c:v>
                </c:pt>
                <c:pt idx="424">
                  <c:v>852.09764033115061</c:v>
                </c:pt>
                <c:pt idx="425">
                  <c:v>843.44647322515334</c:v>
                </c:pt>
                <c:pt idx="426">
                  <c:v>834.76215402602361</c:v>
                </c:pt>
                <c:pt idx="427">
                  <c:v>826.04522531770033</c:v>
                </c:pt>
                <c:pt idx="428">
                  <c:v>817.29622462466045</c:v>
                </c:pt>
                <c:pt idx="429">
                  <c:v>808.51568438371839</c:v>
                </c:pt>
                <c:pt idx="430">
                  <c:v>799.70413191857006</c:v>
                </c:pt>
                <c:pt idx="431">
                  <c:v>790.86208941702012</c:v>
                </c:pt>
                <c:pt idx="432">
                  <c:v>781.99007391082785</c:v>
                </c:pt>
                <c:pt idx="433">
                  <c:v>773.08859725810896</c:v>
                </c:pt>
                <c:pt idx="434">
                  <c:v>764.15816612822994</c:v>
                </c:pt>
                <c:pt idx="435">
                  <c:v>755.19928198913135</c:v>
                </c:pt>
                <c:pt idx="436">
                  <c:v>746.21244109701797</c:v>
                </c:pt>
                <c:pt idx="437">
                  <c:v>737.1981344883518</c:v>
                </c:pt>
                <c:pt idx="438">
                  <c:v>728.15684797408596</c:v>
                </c:pt>
                <c:pt idx="439">
                  <c:v>719.08906213607725</c:v>
                </c:pt>
                <c:pt idx="440">
                  <c:v>709.99525232561496</c:v>
                </c:pt>
                <c:pt idx="441">
                  <c:v>700.87588866400472</c:v>
                </c:pt>
                <c:pt idx="442">
                  <c:v>691.73143604514667</c:v>
                </c:pt>
                <c:pt idx="443">
                  <c:v>682.56235414004698</c:v>
                </c:pt>
                <c:pt idx="444">
                  <c:v>673.369097403203</c:v>
                </c:pt>
                <c:pt idx="445">
                  <c:v>664.15211508080245</c:v>
                </c:pt>
                <c:pt idx="446">
                  <c:v>654.91185122067816</c:v>
                </c:pt>
                <c:pt idx="447">
                  <c:v>645.64874468396067</c:v>
                </c:pt>
                <c:pt idx="448">
                  <c:v>636.36322915837013</c:v>
                </c:pt>
                <c:pt idx="449">
                  <c:v>627.05573317309222</c:v>
                </c:pt>
                <c:pt idx="450">
                  <c:v>617.72668011518169</c:v>
                </c:pt>
                <c:pt idx="451">
                  <c:v>608.37648824743826</c:v>
                </c:pt>
                <c:pt idx="452">
                  <c:v>599.00557072770096</c:v>
                </c:pt>
                <c:pt idx="453">
                  <c:v>589.61433562950685</c:v>
                </c:pt>
                <c:pt idx="454">
                  <c:v>580.20318596406298</c:v>
                </c:pt>
                <c:pt idx="455">
                  <c:v>570.77251970347777</c:v>
                </c:pt>
                <c:pt idx="456">
                  <c:v>561.32272980520293</c:v>
                </c:pt>
                <c:pt idx="457">
                  <c:v>551.85420423763514</c:v>
                </c:pt>
                <c:pt idx="458">
                  <c:v>542.36732600682797</c:v>
                </c:pt>
                <c:pt idx="459">
                  <c:v>532.86247318426695</c:v>
                </c:pt>
                <c:pt idx="460">
                  <c:v>523.34001893566017</c:v>
                </c:pt>
                <c:pt idx="461">
                  <c:v>513.80033155069805</c:v>
                </c:pt>
                <c:pt idx="462">
                  <c:v>504.24377447373695</c:v>
                </c:pt>
                <c:pt idx="463">
                  <c:v>494.67070633536287</c:v>
                </c:pt>
                <c:pt idx="464">
                  <c:v>485.08148098479109</c:v>
                </c:pt>
                <c:pt idx="465">
                  <c:v>475.47644752305979</c:v>
                </c:pt>
                <c:pt idx="466">
                  <c:v>465.85595033697609</c:v>
                </c:pt>
                <c:pt idx="467">
                  <c:v>456.22032913377387</c:v>
                </c:pt>
                <c:pt idx="468">
                  <c:v>446.56991897644383</c:v>
                </c:pt>
                <c:pt idx="469">
                  <c:v>436.90505031969741</c:v>
                </c:pt>
                <c:pt idx="470">
                  <c:v>427.22604904652644</c:v>
                </c:pt>
                <c:pt idx="471">
                  <c:v>417.53323650532229</c:v>
                </c:pt>
                <c:pt idx="472">
                  <c:v>407.82692954751826</c:v>
                </c:pt>
                <c:pt idx="473">
                  <c:v>398.10744056572059</c:v>
                </c:pt>
                <c:pt idx="474">
                  <c:v>388.37507753229437</c:v>
                </c:pt>
                <c:pt idx="475">
                  <c:v>378.63014403837076</c:v>
                </c:pt>
                <c:pt idx="476">
                  <c:v>368.87293933324389</c:v>
                </c:pt>
                <c:pt idx="477">
                  <c:v>359.10375836412595</c:v>
                </c:pt>
                <c:pt idx="478">
                  <c:v>349.32289181623037</c:v>
                </c:pt>
                <c:pt idx="479">
                  <c:v>339.53062615315338</c:v>
                </c:pt>
                <c:pt idx="480">
                  <c:v>329.72724365752566</c:v>
                </c:pt>
                <c:pt idx="481">
                  <c:v>319.91302247190595</c:v>
                </c:pt>
                <c:pt idx="482">
                  <c:v>310.08823663989028</c:v>
                </c:pt>
                <c:pt idx="483">
                  <c:v>300.25315614741021</c:v>
                </c:pt>
                <c:pt idx="484">
                  <c:v>290.40804696419548</c:v>
                </c:pt>
                <c:pt idx="485">
                  <c:v>280.55317108537588</c:v>
                </c:pt>
                <c:pt idx="486">
                  <c:v>270.68878657319954</c:v>
                </c:pt>
                <c:pt idx="487">
                  <c:v>260.81514759884436</c:v>
                </c:pt>
                <c:pt idx="488">
                  <c:v>250.93250448430032</c:v>
                </c:pt>
                <c:pt idx="489">
                  <c:v>241.04110374430212</c:v>
                </c:pt>
                <c:pt idx="490">
                  <c:v>231.14118812829062</c:v>
                </c:pt>
                <c:pt idx="491">
                  <c:v>221.23299666238418</c:v>
                </c:pt>
                <c:pt idx="492">
                  <c:v>211.31676469133998</c:v>
                </c:pt>
                <c:pt idx="493">
                  <c:v>201.39272392048758</c:v>
                </c:pt>
                <c:pt idx="494">
                  <c:v>191.46110245761648</c:v>
                </c:pt>
                <c:pt idx="495">
                  <c:v>181.52212485480092</c:v>
                </c:pt>
                <c:pt idx="496">
                  <c:v>171.57601215014552</c:v>
                </c:pt>
                <c:pt idx="497">
                  <c:v>161.62298190943582</c:v>
                </c:pt>
                <c:pt idx="498">
                  <c:v>151.66324826767874</c:v>
                </c:pt>
                <c:pt idx="499">
                  <c:v>141.69702197051851</c:v>
                </c:pt>
                <c:pt idx="500">
                  <c:v>131.72451041551403</c:v>
                </c:pt>
                <c:pt idx="501">
                  <c:v>121.74591769326445</c:v>
                </c:pt>
                <c:pt idx="502">
                  <c:v>111.76144462837017</c:v>
                </c:pt>
                <c:pt idx="503">
                  <c:v>101.77128882021724</c:v>
                </c:pt>
                <c:pt idx="504">
                  <c:v>91.775644683573162</c:v>
                </c:pt>
                <c:pt idx="505">
                  <c:v>81.774703488983505</c:v>
                </c:pt>
                <c:pt idx="506">
                  <c:v>71.768653402958307</c:v>
                </c:pt>
                <c:pt idx="507">
                  <c:v>61.757679527938492</c:v>
                </c:pt>
                <c:pt idx="508">
                  <c:v>51.741963942032513</c:v>
                </c:pt>
                <c:pt idx="509">
                  <c:v>41.721685738514282</c:v>
                </c:pt>
                <c:pt idx="510">
                  <c:v>31.69702106507367</c:v>
                </c:pt>
                <c:pt idx="511">
                  <c:v>21.668143162811401</c:v>
                </c:pt>
                <c:pt idx="512">
                  <c:v>11.635222404970609</c:v>
                </c:pt>
                <c:pt idx="513">
                  <c:v>1.5984263353977717</c:v>
                </c:pt>
                <c:pt idx="514">
                  <c:v>-8.4420802932739214</c:v>
                </c:pt>
                <c:pt idx="515">
                  <c:v>-8.4521226160746306</c:v>
                </c:pt>
                <c:pt idx="516">
                  <c:v>-8.4621649423435041</c:v>
                </c:pt>
                <c:pt idx="517">
                  <c:v>-8.472207272080384</c:v>
                </c:pt>
                <c:pt idx="518">
                  <c:v>-8.482249605285114</c:v>
                </c:pt>
                <c:pt idx="519">
                  <c:v>-8.4922919419575358</c:v>
                </c:pt>
                <c:pt idx="520">
                  <c:v>-8.5023342820974914</c:v>
                </c:pt>
                <c:pt idx="521">
                  <c:v>-8.5123766257048228</c:v>
                </c:pt>
                <c:pt idx="522">
                  <c:v>-8.5224189727793718</c:v>
                </c:pt>
                <c:pt idx="523">
                  <c:v>-8.5324613233209821</c:v>
                </c:pt>
                <c:pt idx="524">
                  <c:v>-8.5425036773294938</c:v>
                </c:pt>
                <c:pt idx="525">
                  <c:v>-8.5525460348047506</c:v>
                </c:pt>
                <c:pt idx="526">
                  <c:v>-8.5625883957465945</c:v>
                </c:pt>
                <c:pt idx="527">
                  <c:v>-8.5726307601548672</c:v>
                </c:pt>
                <c:pt idx="528">
                  <c:v>-8.5826731280294126</c:v>
                </c:pt>
                <c:pt idx="529">
                  <c:v>-8.5927154993700725</c:v>
                </c:pt>
                <c:pt idx="530">
                  <c:v>-8.602757874176687</c:v>
                </c:pt>
                <c:pt idx="531">
                  <c:v>-8.6128002524490999</c:v>
                </c:pt>
                <c:pt idx="532">
                  <c:v>-8.6228426341871547</c:v>
                </c:pt>
                <c:pt idx="533">
                  <c:v>-8.6328850193906916</c:v>
                </c:pt>
                <c:pt idx="534">
                  <c:v>-8.6429274080595544</c:v>
                </c:pt>
                <c:pt idx="535">
                  <c:v>-8.6529698001935831</c:v>
                </c:pt>
                <c:pt idx="536">
                  <c:v>-8.6630121957926232</c:v>
                </c:pt>
                <c:pt idx="537">
                  <c:v>-8.6730545948565148</c:v>
                </c:pt>
                <c:pt idx="538">
                  <c:v>-8.6830969973850998</c:v>
                </c:pt>
                <c:pt idx="539">
                  <c:v>-8.6931394033782219</c:v>
                </c:pt>
                <c:pt idx="540">
                  <c:v>-8.703181812835723</c:v>
                </c:pt>
                <c:pt idx="541">
                  <c:v>-8.713224225757445</c:v>
                </c:pt>
                <c:pt idx="542">
                  <c:v>-8.7232666421432299</c:v>
                </c:pt>
                <c:pt idx="543">
                  <c:v>-8.7333090619929212</c:v>
                </c:pt>
                <c:pt idx="544">
                  <c:v>-8.7433514853063592</c:v>
                </c:pt>
                <c:pt idx="545">
                  <c:v>-8.7533939120833875</c:v>
                </c:pt>
                <c:pt idx="546">
                  <c:v>-8.7634363423238479</c:v>
                </c:pt>
                <c:pt idx="547">
                  <c:v>-8.7734787760275843</c:v>
                </c:pt>
                <c:pt idx="548">
                  <c:v>-8.7835212131944367</c:v>
                </c:pt>
                <c:pt idx="549">
                  <c:v>-8.7935636538242488</c:v>
                </c:pt>
                <c:pt idx="550">
                  <c:v>-8.8036060979168624</c:v>
                </c:pt>
                <c:pt idx="551">
                  <c:v>-8.8136485454721196</c:v>
                </c:pt>
                <c:pt idx="552">
                  <c:v>-8.823690996489864</c:v>
                </c:pt>
                <c:pt idx="553">
                  <c:v>-8.8337334509699375</c:v>
                </c:pt>
                <c:pt idx="554">
                  <c:v>-8.8437759089121819</c:v>
                </c:pt>
                <c:pt idx="555">
                  <c:v>-8.8538183703164393</c:v>
                </c:pt>
                <c:pt idx="556">
                  <c:v>-8.8638608351825514</c:v>
                </c:pt>
                <c:pt idx="557">
                  <c:v>-8.8739033035103621</c:v>
                </c:pt>
                <c:pt idx="558">
                  <c:v>-8.8839457752997131</c:v>
                </c:pt>
                <c:pt idx="559">
                  <c:v>-8.8939882505504464</c:v>
                </c:pt>
                <c:pt idx="560">
                  <c:v>-8.9040307292624039</c:v>
                </c:pt>
                <c:pt idx="561">
                  <c:v>-8.9140732114354293</c:v>
                </c:pt>
                <c:pt idx="562">
                  <c:v>-8.9241156970693645</c:v>
                </c:pt>
                <c:pt idx="563">
                  <c:v>-8.9341581861640513</c:v>
                </c:pt>
                <c:pt idx="564">
                  <c:v>-8.9442006787193318</c:v>
                </c:pt>
                <c:pt idx="565">
                  <c:v>-8.9542431747350495</c:v>
                </c:pt>
                <c:pt idx="566">
                  <c:v>-8.9642856742110464</c:v>
                </c:pt>
                <c:pt idx="567">
                  <c:v>-8.9743281771471644</c:v>
                </c:pt>
                <c:pt idx="568">
                  <c:v>-8.9843706835432453</c:v>
                </c:pt>
                <c:pt idx="569">
                  <c:v>-8.9944131933991329</c:v>
                </c:pt>
                <c:pt idx="570">
                  <c:v>-9.0044557067146691</c:v>
                </c:pt>
                <c:pt idx="571">
                  <c:v>-9.0144982234896958</c:v>
                </c:pt>
                <c:pt idx="572">
                  <c:v>-9.0245407437240548</c:v>
                </c:pt>
                <c:pt idx="573">
                  <c:v>-9.0345832674175899</c:v>
                </c:pt>
                <c:pt idx="574">
                  <c:v>-9.0446257945701429</c:v>
                </c:pt>
                <c:pt idx="575">
                  <c:v>-9.0546683251815558</c:v>
                </c:pt>
                <c:pt idx="576">
                  <c:v>-9.0647108592516705</c:v>
                </c:pt>
                <c:pt idx="577">
                  <c:v>-9.0747533967803307</c:v>
                </c:pt>
                <c:pt idx="578">
                  <c:v>-9.0847959377673781</c:v>
                </c:pt>
                <c:pt idx="579">
                  <c:v>-9.0948384822126549</c:v>
                </c:pt>
                <c:pt idx="580">
                  <c:v>-9.1048810301160046</c:v>
                </c:pt>
                <c:pt idx="581">
                  <c:v>-9.1149235814772673</c:v>
                </c:pt>
                <c:pt idx="582">
                  <c:v>-9.1249661362962868</c:v>
                </c:pt>
                <c:pt idx="583">
                  <c:v>-9.1350086945729068</c:v>
                </c:pt>
                <c:pt idx="584">
                  <c:v>-9.1450512563069672</c:v>
                </c:pt>
                <c:pt idx="585">
                  <c:v>-9.155093821498312</c:v>
                </c:pt>
                <c:pt idx="586">
                  <c:v>-9.1651363901467828</c:v>
                </c:pt>
                <c:pt idx="587">
                  <c:v>-9.1751789622522235</c:v>
                </c:pt>
                <c:pt idx="588">
                  <c:v>-9.1852215378144741</c:v>
                </c:pt>
                <c:pt idx="589">
                  <c:v>-9.1952641168333784</c:v>
                </c:pt>
                <c:pt idx="590">
                  <c:v>-9.20530669930878</c:v>
                </c:pt>
                <c:pt idx="591">
                  <c:v>-9.215349285240519</c:v>
                </c:pt>
                <c:pt idx="592">
                  <c:v>-9.2253918746284391</c:v>
                </c:pt>
                <c:pt idx="593">
                  <c:v>-9.2354344674723823</c:v>
                </c:pt>
                <c:pt idx="594">
                  <c:v>-9.2454770637721904</c:v>
                </c:pt>
                <c:pt idx="595">
                  <c:v>-9.2555196635277071</c:v>
                </c:pt>
                <c:pt idx="596">
                  <c:v>-9.2655622667387743</c:v>
                </c:pt>
                <c:pt idx="597">
                  <c:v>-9.2756048734052339</c:v>
                </c:pt>
                <c:pt idx="598">
                  <c:v>-9.2856474835269296</c:v>
                </c:pt>
                <c:pt idx="599">
                  <c:v>-9.2956900971037033</c:v>
                </c:pt>
                <c:pt idx="600">
                  <c:v>-9.3057327141353969</c:v>
                </c:pt>
                <c:pt idx="601">
                  <c:v>-9.3157753346218541</c:v>
                </c:pt>
                <c:pt idx="602">
                  <c:v>-9.3258179585629151</c:v>
                </c:pt>
                <c:pt idx="603">
                  <c:v>-9.3358605859584252</c:v>
                </c:pt>
                <c:pt idx="604">
                  <c:v>-9.3459032168082246</c:v>
                </c:pt>
                <c:pt idx="605">
                  <c:v>-9.3559458511121569</c:v>
                </c:pt>
                <c:pt idx="606">
                  <c:v>-9.3659884888700642</c:v>
                </c:pt>
                <c:pt idx="607">
                  <c:v>-9.3760311300817882</c:v>
                </c:pt>
                <c:pt idx="608">
                  <c:v>-9.3860737747471727</c:v>
                </c:pt>
                <c:pt idx="609">
                  <c:v>-9.3961164228660596</c:v>
                </c:pt>
                <c:pt idx="610">
                  <c:v>-9.4061590744382908</c:v>
                </c:pt>
                <c:pt idx="611">
                  <c:v>-9.4162017294637081</c:v>
                </c:pt>
                <c:pt idx="612">
                  <c:v>-9.4262443879421554</c:v>
                </c:pt>
                <c:pt idx="613">
                  <c:v>-9.4362870498734761</c:v>
                </c:pt>
                <c:pt idx="614">
                  <c:v>-9.4463297152575105</c:v>
                </c:pt>
                <c:pt idx="615">
                  <c:v>-9.4563723840941023</c:v>
                </c:pt>
                <c:pt idx="616">
                  <c:v>-9.4664150563830933</c:v>
                </c:pt>
                <c:pt idx="617">
                  <c:v>-9.4764577321243273</c:v>
                </c:pt>
                <c:pt idx="618">
                  <c:v>-9.4865004113176461</c:v>
                </c:pt>
                <c:pt idx="619">
                  <c:v>-9.4965430939628916</c:v>
                </c:pt>
                <c:pt idx="620">
                  <c:v>-9.5065857800599058</c:v>
                </c:pt>
                <c:pt idx="621">
                  <c:v>-9.5166284696085324</c:v>
                </c:pt>
                <c:pt idx="622">
                  <c:v>-9.5266711626086131</c:v>
                </c:pt>
                <c:pt idx="623">
                  <c:v>-9.5367138590599918</c:v>
                </c:pt>
                <c:pt idx="624">
                  <c:v>-9.5467565589625085</c:v>
                </c:pt>
                <c:pt idx="625">
                  <c:v>-9.5567992623160087</c:v>
                </c:pt>
                <c:pt idx="626">
                  <c:v>-9.5668419691203326</c:v>
                </c:pt>
                <c:pt idx="627">
                  <c:v>-9.5768846793753237</c:v>
                </c:pt>
                <c:pt idx="628">
                  <c:v>-9.5869273930808241</c:v>
                </c:pt>
                <c:pt idx="629">
                  <c:v>-9.5969701102366773</c:v>
                </c:pt>
                <c:pt idx="630">
                  <c:v>-9.6070128308427254</c:v>
                </c:pt>
                <c:pt idx="631">
                  <c:v>-9.6170555548988101</c:v>
                </c:pt>
                <c:pt idx="632">
                  <c:v>-9.6270982824047735</c:v>
                </c:pt>
                <c:pt idx="633">
                  <c:v>-9.6371410133604591</c:v>
                </c:pt>
                <c:pt idx="634">
                  <c:v>-9.647183747765709</c:v>
                </c:pt>
                <c:pt idx="635">
                  <c:v>-9.6572264856203667</c:v>
                </c:pt>
                <c:pt idx="636">
                  <c:v>-9.6672692269242742</c:v>
                </c:pt>
                <c:pt idx="637">
                  <c:v>-9.6773119716772733</c:v>
                </c:pt>
                <c:pt idx="638">
                  <c:v>-9.6873547198792078</c:v>
                </c:pt>
                <c:pt idx="639">
                  <c:v>-9.6973974715299196</c:v>
                </c:pt>
                <c:pt idx="640">
                  <c:v>-9.7074402266292505</c:v>
                </c:pt>
                <c:pt idx="641">
                  <c:v>-9.7174829851770443</c:v>
                </c:pt>
                <c:pt idx="642">
                  <c:v>-9.7275257471731429</c:v>
                </c:pt>
                <c:pt idx="643">
                  <c:v>-9.7375685126173899</c:v>
                </c:pt>
                <c:pt idx="644">
                  <c:v>-9.7476112815096272</c:v>
                </c:pt>
                <c:pt idx="645">
                  <c:v>-9.7576540538496968</c:v>
                </c:pt>
                <c:pt idx="646">
                  <c:v>-9.7676968296374405</c:v>
                </c:pt>
                <c:pt idx="647">
                  <c:v>-9.777739608872702</c:v>
                </c:pt>
                <c:pt idx="648">
                  <c:v>-9.787782391555325</c:v>
                </c:pt>
                <c:pt idx="649">
                  <c:v>-9.7978251776851497</c:v>
                </c:pt>
                <c:pt idx="650">
                  <c:v>-9.8078679672620197</c:v>
                </c:pt>
                <c:pt idx="651">
                  <c:v>-9.8179107602857787</c:v>
                </c:pt>
                <c:pt idx="652">
                  <c:v>-9.8279535567562686</c:v>
                </c:pt>
                <c:pt idx="653">
                  <c:v>-9.8379963566733313</c:v>
                </c:pt>
                <c:pt idx="654">
                  <c:v>-9.8480391600368087</c:v>
                </c:pt>
                <c:pt idx="655">
                  <c:v>-9.8580819668465445</c:v>
                </c:pt>
                <c:pt idx="656">
                  <c:v>-9.8681247771023823</c:v>
                </c:pt>
                <c:pt idx="657">
                  <c:v>-9.8781675908041624</c:v>
                </c:pt>
                <c:pt idx="658">
                  <c:v>-9.8882104079517301</c:v>
                </c:pt>
                <c:pt idx="659">
                  <c:v>-9.8982532285449256</c:v>
                </c:pt>
                <c:pt idx="660">
                  <c:v>-9.9082960525835926</c:v>
                </c:pt>
                <c:pt idx="661">
                  <c:v>-9.9183388800675729</c:v>
                </c:pt>
                <c:pt idx="662">
                  <c:v>-9.9283817109967103</c:v>
                </c:pt>
                <c:pt idx="663">
                  <c:v>-9.9384245453708466</c:v>
                </c:pt>
                <c:pt idx="664">
                  <c:v>-9.9484673831898238</c:v>
                </c:pt>
                <c:pt idx="665">
                  <c:v>-9.9585102244534855</c:v>
                </c:pt>
                <c:pt idx="666">
                  <c:v>-9.9685530691616737</c:v>
                </c:pt>
                <c:pt idx="667">
                  <c:v>-9.978595917314232</c:v>
                </c:pt>
                <c:pt idx="668">
                  <c:v>-9.9886387689110023</c:v>
                </c:pt>
                <c:pt idx="669">
                  <c:v>-9.9986816239518284</c:v>
                </c:pt>
                <c:pt idx="670">
                  <c:v>-10.00872448243655</c:v>
                </c:pt>
                <c:pt idx="671">
                  <c:v>-10.018767344365013</c:v>
                </c:pt>
                <c:pt idx="672">
                  <c:v>-10.028810209737058</c:v>
                </c:pt>
                <c:pt idx="673">
                  <c:v>-10.038853078552528</c:v>
                </c:pt>
                <c:pt idx="674">
                  <c:v>-10.048895950811266</c:v>
                </c:pt>
                <c:pt idx="675">
                  <c:v>-10.058938826513115</c:v>
                </c:pt>
                <c:pt idx="676">
                  <c:v>-10.068981705657917</c:v>
                </c:pt>
                <c:pt idx="677">
                  <c:v>-10.079024588245515</c:v>
                </c:pt>
                <c:pt idx="678">
                  <c:v>-10.089067474275751</c:v>
                </c:pt>
                <c:pt idx="679">
                  <c:v>-10.099110363748469</c:v>
                </c:pt>
                <c:pt idx="680">
                  <c:v>-10.109153256663509</c:v>
                </c:pt>
                <c:pt idx="681">
                  <c:v>-10.119196153020717</c:v>
                </c:pt>
                <c:pt idx="682">
                  <c:v>-10.129239052819933</c:v>
                </c:pt>
                <c:pt idx="683">
                  <c:v>-10.139281956061001</c:v>
                </c:pt>
                <c:pt idx="684">
                  <c:v>-10.149324862743764</c:v>
                </c:pt>
                <c:pt idx="685">
                  <c:v>-10.159367772868064</c:v>
                </c:pt>
                <c:pt idx="686">
                  <c:v>-10.169410686433743</c:v>
                </c:pt>
                <c:pt idx="687">
                  <c:v>-10.179453603440644</c:v>
                </c:pt>
                <c:pt idx="688">
                  <c:v>-10.189496523888609</c:v>
                </c:pt>
                <c:pt idx="689">
                  <c:v>-10.199539447777482</c:v>
                </c:pt>
                <c:pt idx="690">
                  <c:v>-10.209582375107107</c:v>
                </c:pt>
                <c:pt idx="691">
                  <c:v>-10.219625305877324</c:v>
                </c:pt>
                <c:pt idx="692">
                  <c:v>-10.229668240087976</c:v>
                </c:pt>
                <c:pt idx="693">
                  <c:v>-10.239711177738908</c:v>
                </c:pt>
                <c:pt idx="694">
                  <c:v>-10.24975411882996</c:v>
                </c:pt>
                <c:pt idx="695">
                  <c:v>-10.259797063360976</c:v>
                </c:pt>
                <c:pt idx="696">
                  <c:v>-10.269840011331798</c:v>
                </c:pt>
                <c:pt idx="697">
                  <c:v>-10.279882962742269</c:v>
                </c:pt>
                <c:pt idx="698">
                  <c:v>-10.289925917592232</c:v>
                </c:pt>
                <c:pt idx="699">
                  <c:v>-10.299968875881529</c:v>
                </c:pt>
                <c:pt idx="700">
                  <c:v>-10.310011837610004</c:v>
                </c:pt>
                <c:pt idx="701">
                  <c:v>-10.320054802777499</c:v>
                </c:pt>
                <c:pt idx="702">
                  <c:v>-10.330097771383857</c:v>
                </c:pt>
                <c:pt idx="703">
                  <c:v>-10.34014074342892</c:v>
                </c:pt>
                <c:pt idx="704">
                  <c:v>-10.350183718912531</c:v>
                </c:pt>
                <c:pt idx="705">
                  <c:v>-10.360226697834532</c:v>
                </c:pt>
                <c:pt idx="706">
                  <c:v>-10.370269680194767</c:v>
                </c:pt>
                <c:pt idx="707">
                  <c:v>-10.380312665993078</c:v>
                </c:pt>
                <c:pt idx="708">
                  <c:v>-10.390355655229309</c:v>
                </c:pt>
                <c:pt idx="709">
                  <c:v>-10.4003986479033</c:v>
                </c:pt>
                <c:pt idx="710">
                  <c:v>-10.410441644014897</c:v>
                </c:pt>
                <c:pt idx="711">
                  <c:v>-10.42048464356394</c:v>
                </c:pt>
                <c:pt idx="712">
                  <c:v>-10.430527646550273</c:v>
                </c:pt>
                <c:pt idx="713">
                  <c:v>-10.440570652973738</c:v>
                </c:pt>
                <c:pt idx="714">
                  <c:v>-10.450613662834179</c:v>
                </c:pt>
                <c:pt idx="715">
                  <c:v>-10.460656676131439</c:v>
                </c:pt>
                <c:pt idx="716">
                  <c:v>-10.47069969286536</c:v>
                </c:pt>
                <c:pt idx="717">
                  <c:v>-10.480742713035783</c:v>
                </c:pt>
                <c:pt idx="718">
                  <c:v>-10.490785736642552</c:v>
                </c:pt>
                <c:pt idx="719">
                  <c:v>-10.500828763685512</c:v>
                </c:pt>
                <c:pt idx="720">
                  <c:v>-10.510871794164503</c:v>
                </c:pt>
                <c:pt idx="721">
                  <c:v>-10.520914828079368</c:v>
                </c:pt>
                <c:pt idx="722">
                  <c:v>-10.530957865429951</c:v>
                </c:pt>
                <c:pt idx="723">
                  <c:v>-10.541000906216093</c:v>
                </c:pt>
                <c:pt idx="724">
                  <c:v>-10.551043950437638</c:v>
                </c:pt>
                <c:pt idx="725">
                  <c:v>-10.561086998094428</c:v>
                </c:pt>
                <c:pt idx="726">
                  <c:v>-10.571130049186307</c:v>
                </c:pt>
                <c:pt idx="727">
                  <c:v>-10.581173103713118</c:v>
                </c:pt>
                <c:pt idx="728">
                  <c:v>-10.591216161674701</c:v>
                </c:pt>
                <c:pt idx="729">
                  <c:v>-10.601259223070903</c:v>
                </c:pt>
                <c:pt idx="730">
                  <c:v>-10.611302287901562</c:v>
                </c:pt>
                <c:pt idx="731">
                  <c:v>-10.621345356166525</c:v>
                </c:pt>
                <c:pt idx="732">
                  <c:v>-10.631388427865632</c:v>
                </c:pt>
                <c:pt idx="733">
                  <c:v>-10.641431502998728</c:v>
                </c:pt>
                <c:pt idx="734">
                  <c:v>-10.651474581565655</c:v>
                </c:pt>
                <c:pt idx="735">
                  <c:v>-10.661517663566254</c:v>
                </c:pt>
                <c:pt idx="736">
                  <c:v>-10.671560749000371</c:v>
                </c:pt>
                <c:pt idx="737">
                  <c:v>-10.681603837867845</c:v>
                </c:pt>
                <c:pt idx="738">
                  <c:v>-10.691646930168522</c:v>
                </c:pt>
                <c:pt idx="739">
                  <c:v>-10.701690025902243</c:v>
                </c:pt>
                <c:pt idx="740">
                  <c:v>-10.711733125068852</c:v>
                </c:pt>
                <c:pt idx="741">
                  <c:v>-10.72177622766819</c:v>
                </c:pt>
                <c:pt idx="742">
                  <c:v>-10.731819333700102</c:v>
                </c:pt>
                <c:pt idx="743">
                  <c:v>-10.741862443164429</c:v>
                </c:pt>
                <c:pt idx="744">
                  <c:v>-10.751905556061015</c:v>
                </c:pt>
                <c:pt idx="745">
                  <c:v>-10.761948672389702</c:v>
                </c:pt>
                <c:pt idx="746">
                  <c:v>-10.771991792150333</c:v>
                </c:pt>
                <c:pt idx="747">
                  <c:v>-10.782034915342752</c:v>
                </c:pt>
                <c:pt idx="748">
                  <c:v>-10.792078041966802</c:v>
                </c:pt>
                <c:pt idx="749">
                  <c:v>-10.802121172022323</c:v>
                </c:pt>
                <c:pt idx="750">
                  <c:v>-10.81216430550916</c:v>
                </c:pt>
                <c:pt idx="751">
                  <c:v>-10.822207442427157</c:v>
                </c:pt>
                <c:pt idx="752">
                  <c:v>-10.832250582776155</c:v>
                </c:pt>
                <c:pt idx="753">
                  <c:v>-10.842293726555996</c:v>
                </c:pt>
                <c:pt idx="754">
                  <c:v>-10.852336873766523</c:v>
                </c:pt>
                <c:pt idx="755">
                  <c:v>-10.862380024407582</c:v>
                </c:pt>
                <c:pt idx="756">
                  <c:v>-10.872423178479012</c:v>
                </c:pt>
                <c:pt idx="757">
                  <c:v>-10.882466335980657</c:v>
                </c:pt>
                <c:pt idx="758">
                  <c:v>-10.892509496912362</c:v>
                </c:pt>
                <c:pt idx="759">
                  <c:v>-10.902552661273967</c:v>
                </c:pt>
                <c:pt idx="760">
                  <c:v>-10.912595829065317</c:v>
                </c:pt>
                <c:pt idx="761">
                  <c:v>-10.922639000286253</c:v>
                </c:pt>
                <c:pt idx="762">
                  <c:v>-10.93268217493662</c:v>
                </c:pt>
                <c:pt idx="763">
                  <c:v>-10.942725353016259</c:v>
                </c:pt>
                <c:pt idx="764">
                  <c:v>-10.952768534525013</c:v>
                </c:pt>
                <c:pt idx="765">
                  <c:v>-10.962811719462726</c:v>
                </c:pt>
                <c:pt idx="766">
                  <c:v>-10.972854907829241</c:v>
                </c:pt>
                <c:pt idx="767">
                  <c:v>-10.9828980996244</c:v>
                </c:pt>
                <c:pt idx="768">
                  <c:v>-10.992941294848045</c:v>
                </c:pt>
                <c:pt idx="769">
                  <c:v>-11.002984493500021</c:v>
                </c:pt>
                <c:pt idx="770">
                  <c:v>-11.013027695580169</c:v>
                </c:pt>
                <c:pt idx="771">
                  <c:v>-11.023070901088333</c:v>
                </c:pt>
                <c:pt idx="772">
                  <c:v>-11.033114110024355</c:v>
                </c:pt>
                <c:pt idx="773">
                  <c:v>-11.04315732238808</c:v>
                </c:pt>
                <c:pt idx="774">
                  <c:v>-11.053200538179349</c:v>
                </c:pt>
                <c:pt idx="775">
                  <c:v>-11.063243757398004</c:v>
                </c:pt>
                <c:pt idx="776">
                  <c:v>-11.073286980043889</c:v>
                </c:pt>
                <c:pt idx="777">
                  <c:v>-11.083330206116848</c:v>
                </c:pt>
                <c:pt idx="778">
                  <c:v>-11.093373435616723</c:v>
                </c:pt>
                <c:pt idx="779">
                  <c:v>-11.103416668543357</c:v>
                </c:pt>
                <c:pt idx="780">
                  <c:v>-11.113459904896592</c:v>
                </c:pt>
                <c:pt idx="781">
                  <c:v>-11.123503144676272</c:v>
                </c:pt>
                <c:pt idx="782">
                  <c:v>-11.133546387882241</c:v>
                </c:pt>
                <c:pt idx="783">
                  <c:v>-11.14358963451434</c:v>
                </c:pt>
                <c:pt idx="784">
                  <c:v>-11.153632884572412</c:v>
                </c:pt>
                <c:pt idx="785">
                  <c:v>-11.163676138056299</c:v>
                </c:pt>
                <c:pt idx="786">
                  <c:v>-11.173719394965847</c:v>
                </c:pt>
                <c:pt idx="787">
                  <c:v>-11.183762655300898</c:v>
                </c:pt>
                <c:pt idx="788">
                  <c:v>-11.193805919061292</c:v>
                </c:pt>
                <c:pt idx="789">
                  <c:v>-11.203849186246876</c:v>
                </c:pt>
                <c:pt idx="790">
                  <c:v>-11.21389245685749</c:v>
                </c:pt>
                <c:pt idx="791">
                  <c:v>-11.223935730892979</c:v>
                </c:pt>
                <c:pt idx="792">
                  <c:v>-11.233979008353185</c:v>
                </c:pt>
                <c:pt idx="793">
                  <c:v>-11.24402228923795</c:v>
                </c:pt>
                <c:pt idx="794">
                  <c:v>-11.254065573547118</c:v>
                </c:pt>
                <c:pt idx="795">
                  <c:v>-11.264108861280532</c:v>
                </c:pt>
                <c:pt idx="796">
                  <c:v>-11.274152152438035</c:v>
                </c:pt>
                <c:pt idx="797">
                  <c:v>-11.284195447019469</c:v>
                </c:pt>
                <c:pt idx="798">
                  <c:v>-11.294238745024678</c:v>
                </c:pt>
                <c:pt idx="799">
                  <c:v>-11.304282046453505</c:v>
                </c:pt>
                <c:pt idx="800">
                  <c:v>-11.314325351305792</c:v>
                </c:pt>
                <c:pt idx="801">
                  <c:v>-11.324368659581383</c:v>
                </c:pt>
                <c:pt idx="802">
                  <c:v>-11.334411971280121</c:v>
                </c:pt>
                <c:pt idx="803">
                  <c:v>-11.344455286401848</c:v>
                </c:pt>
                <c:pt idx="804">
                  <c:v>-11.354498604946407</c:v>
                </c:pt>
                <c:pt idx="805">
                  <c:v>-11.364541926913642</c:v>
                </c:pt>
                <c:pt idx="806">
                  <c:v>-11.374585252303396</c:v>
                </c:pt>
                <c:pt idx="807">
                  <c:v>-11.384628581115511</c:v>
                </c:pt>
                <c:pt idx="808">
                  <c:v>-11.39467191334983</c:v>
                </c:pt>
                <c:pt idx="809">
                  <c:v>-11.404715249006196</c:v>
                </c:pt>
                <c:pt idx="810">
                  <c:v>-11.414758588084453</c:v>
                </c:pt>
                <c:pt idx="811">
                  <c:v>-11.424801930584444</c:v>
                </c:pt>
                <c:pt idx="812">
                  <c:v>-11.43484527650601</c:v>
                </c:pt>
                <c:pt idx="813">
                  <c:v>-11.444888625848996</c:v>
                </c:pt>
                <c:pt idx="814">
                  <c:v>-11.454931978613244</c:v>
                </c:pt>
                <c:pt idx="815">
                  <c:v>-11.464975334798599</c:v>
                </c:pt>
                <c:pt idx="816">
                  <c:v>-11.4750186944049</c:v>
                </c:pt>
                <c:pt idx="817">
                  <c:v>-11.485062057431994</c:v>
                </c:pt>
                <c:pt idx="818">
                  <c:v>-11.495105423879723</c:v>
                </c:pt>
                <c:pt idx="819">
                  <c:v>-11.505148793747928</c:v>
                </c:pt>
                <c:pt idx="820">
                  <c:v>-11.515192167036453</c:v>
                </c:pt>
                <c:pt idx="821">
                  <c:v>-11.525235543745142</c:v>
                </c:pt>
                <c:pt idx="822">
                  <c:v>-11.535278923873838</c:v>
                </c:pt>
                <c:pt idx="823">
                  <c:v>-11.545322307422383</c:v>
                </c:pt>
                <c:pt idx="824">
                  <c:v>-11.555365694390622</c:v>
                </c:pt>
                <c:pt idx="825">
                  <c:v>-11.565409084778395</c:v>
                </c:pt>
                <c:pt idx="826">
                  <c:v>-11.575452478585547</c:v>
                </c:pt>
                <c:pt idx="827">
                  <c:v>-11.585495875811921</c:v>
                </c:pt>
                <c:pt idx="828">
                  <c:v>-11.595539276457359</c:v>
                </c:pt>
                <c:pt idx="829">
                  <c:v>-11.605582680521705</c:v>
                </c:pt>
                <c:pt idx="830">
                  <c:v>-11.615626088004802</c:v>
                </c:pt>
                <c:pt idx="831">
                  <c:v>-11.625669498906493</c:v>
                </c:pt>
                <c:pt idx="832">
                  <c:v>-11.635712913226621</c:v>
                </c:pt>
                <c:pt idx="833">
                  <c:v>-11.645756330965028</c:v>
                </c:pt>
                <c:pt idx="834">
                  <c:v>-11.655799752121558</c:v>
                </c:pt>
                <c:pt idx="835">
                  <c:v>-11.665843176696054</c:v>
                </c:pt>
                <c:pt idx="836">
                  <c:v>-11.67588660468836</c:v>
                </c:pt>
                <c:pt idx="837">
                  <c:v>-11.685930036098318</c:v>
                </c:pt>
                <c:pt idx="838">
                  <c:v>-11.695973470925772</c:v>
                </c:pt>
                <c:pt idx="839">
                  <c:v>-11.706016909170563</c:v>
                </c:pt>
                <c:pt idx="840">
                  <c:v>-11.716060350832535</c:v>
                </c:pt>
                <c:pt idx="841">
                  <c:v>-11.726103795911532</c:v>
                </c:pt>
                <c:pt idx="842">
                  <c:v>-11.736147244407396</c:v>
                </c:pt>
                <c:pt idx="843">
                  <c:v>-11.746190696319971</c:v>
                </c:pt>
                <c:pt idx="844">
                  <c:v>-11.7562341516491</c:v>
                </c:pt>
                <c:pt idx="845">
                  <c:v>-11.766277610394624</c:v>
                </c:pt>
                <c:pt idx="846">
                  <c:v>-11.776321072556389</c:v>
                </c:pt>
                <c:pt idx="847">
                  <c:v>-11.786364538134237</c:v>
                </c:pt>
                <c:pt idx="848">
                  <c:v>-11.79640800712801</c:v>
                </c:pt>
                <c:pt idx="849">
                  <c:v>-11.806451479537554</c:v>
                </c:pt>
                <c:pt idx="850">
                  <c:v>-11.816494955362709</c:v>
                </c:pt>
                <c:pt idx="851">
                  <c:v>-11.82653843460332</c:v>
                </c:pt>
                <c:pt idx="852">
                  <c:v>-11.836581917259229</c:v>
                </c:pt>
                <c:pt idx="853">
                  <c:v>-11.846625403330279</c:v>
                </c:pt>
                <c:pt idx="854">
                  <c:v>-11.856668892816314</c:v>
                </c:pt>
                <c:pt idx="855">
                  <c:v>-11.866712385717177</c:v>
                </c:pt>
                <c:pt idx="856">
                  <c:v>-11.876755882032711</c:v>
                </c:pt>
                <c:pt idx="857">
                  <c:v>-11.886799381762758</c:v>
                </c:pt>
                <c:pt idx="858">
                  <c:v>-11.896842884907162</c:v>
                </c:pt>
                <c:pt idx="859">
                  <c:v>-11.906886391465767</c:v>
                </c:pt>
                <c:pt idx="860">
                  <c:v>-11.916929901438415</c:v>
                </c:pt>
                <c:pt idx="861">
                  <c:v>-11.92697341482495</c:v>
                </c:pt>
                <c:pt idx="862">
                  <c:v>-11.937016931625214</c:v>
                </c:pt>
                <c:pt idx="863">
                  <c:v>-11.94706045183905</c:v>
                </c:pt>
                <c:pt idx="864">
                  <c:v>-11.957103975466303</c:v>
                </c:pt>
                <c:pt idx="865">
                  <c:v>-11.967147502506815</c:v>
                </c:pt>
                <c:pt idx="866">
                  <c:v>-11.977191032960429</c:v>
                </c:pt>
                <c:pt idx="867">
                  <c:v>-11.987234566826988</c:v>
                </c:pt>
                <c:pt idx="868">
                  <c:v>-11.997278104106336</c:v>
                </c:pt>
                <c:pt idx="869">
                  <c:v>-12.007321644798314</c:v>
                </c:pt>
                <c:pt idx="870">
                  <c:v>-12.017365188902767</c:v>
                </c:pt>
                <c:pt idx="871">
                  <c:v>-12.027408736419538</c:v>
                </c:pt>
                <c:pt idx="872">
                  <c:v>-12.03745228734847</c:v>
                </c:pt>
                <c:pt idx="873">
                  <c:v>-12.047495841689406</c:v>
                </c:pt>
                <c:pt idx="874">
                  <c:v>-12.05753939944219</c:v>
                </c:pt>
                <c:pt idx="875">
                  <c:v>-12.067582960606664</c:v>
                </c:pt>
                <c:pt idx="876">
                  <c:v>-12.077626525182671</c:v>
                </c:pt>
                <c:pt idx="877">
                  <c:v>-12.087670093170056</c:v>
                </c:pt>
                <c:pt idx="878">
                  <c:v>-12.09771366456866</c:v>
                </c:pt>
                <c:pt idx="879">
                  <c:v>-12.107757239378328</c:v>
                </c:pt>
                <c:pt idx="880">
                  <c:v>-12.117800817598901</c:v>
                </c:pt>
                <c:pt idx="881">
                  <c:v>-12.127844399230225</c:v>
                </c:pt>
                <c:pt idx="882">
                  <c:v>-12.137887984272142</c:v>
                </c:pt>
                <c:pt idx="883">
                  <c:v>-12.147931572724493</c:v>
                </c:pt>
                <c:pt idx="884">
                  <c:v>-12.157975164587125</c:v>
                </c:pt>
                <c:pt idx="885">
                  <c:v>-12.168018759859878</c:v>
                </c:pt>
                <c:pt idx="886">
                  <c:v>-12.178062358542597</c:v>
                </c:pt>
                <c:pt idx="887">
                  <c:v>-12.188105960635124</c:v>
                </c:pt>
                <c:pt idx="888">
                  <c:v>-12.198149566137303</c:v>
                </c:pt>
                <c:pt idx="889">
                  <c:v>-12.208193175048978</c:v>
                </c:pt>
                <c:pt idx="890">
                  <c:v>-12.218236787369989</c:v>
                </c:pt>
                <c:pt idx="891">
                  <c:v>-12.228280403100182</c:v>
                </c:pt>
                <c:pt idx="892">
                  <c:v>-12.2383240222394</c:v>
                </c:pt>
                <c:pt idx="893">
                  <c:v>-12.248367644787486</c:v>
                </c:pt>
                <c:pt idx="894">
                  <c:v>-12.258411270744283</c:v>
                </c:pt>
                <c:pt idx="895">
                  <c:v>-12.268454900109633</c:v>
                </c:pt>
                <c:pt idx="896">
                  <c:v>-12.278498532883383</c:v>
                </c:pt>
                <c:pt idx="897">
                  <c:v>-12.288542169065373</c:v>
                </c:pt>
                <c:pt idx="898">
                  <c:v>-12.298585808655446</c:v>
                </c:pt>
                <c:pt idx="899">
                  <c:v>-12.308629451653447</c:v>
                </c:pt>
                <c:pt idx="900">
                  <c:v>-12.318673098059218</c:v>
                </c:pt>
                <c:pt idx="901">
                  <c:v>-12.328716747872603</c:v>
                </c:pt>
                <c:pt idx="902">
                  <c:v>-12.338760401093444</c:v>
                </c:pt>
                <c:pt idx="903">
                  <c:v>-12.348804057721585</c:v>
                </c:pt>
                <c:pt idx="904">
                  <c:v>-12.35884771775687</c:v>
                </c:pt>
                <c:pt idx="905">
                  <c:v>-12.368891381199141</c:v>
                </c:pt>
                <c:pt idx="906">
                  <c:v>-12.378935048048243</c:v>
                </c:pt>
                <c:pt idx="907">
                  <c:v>-12.388978718304017</c:v>
                </c:pt>
                <c:pt idx="908">
                  <c:v>-12.399022391966307</c:v>
                </c:pt>
                <c:pt idx="909">
                  <c:v>-12.409066069034957</c:v>
                </c:pt>
                <c:pt idx="910">
                  <c:v>-12.41910974950981</c:v>
                </c:pt>
                <c:pt idx="911">
                  <c:v>-12.429153433390708</c:v>
                </c:pt>
                <c:pt idx="912">
                  <c:v>-12.439197120677495</c:v>
                </c:pt>
                <c:pt idx="913">
                  <c:v>-12.449240811370014</c:v>
                </c:pt>
                <c:pt idx="914">
                  <c:v>-12.45928450546811</c:v>
                </c:pt>
                <c:pt idx="915">
                  <c:v>-12.469328202971626</c:v>
                </c:pt>
                <c:pt idx="916">
                  <c:v>-12.479371903880404</c:v>
                </c:pt>
                <c:pt idx="917">
                  <c:v>-12.489415608194287</c:v>
                </c:pt>
                <c:pt idx="918">
                  <c:v>-12.49945931591312</c:v>
                </c:pt>
                <c:pt idx="919">
                  <c:v>-12.509503027036745</c:v>
                </c:pt>
                <c:pt idx="920">
                  <c:v>-12.519546741565005</c:v>
                </c:pt>
                <c:pt idx="921">
                  <c:v>-12.529590459497744</c:v>
                </c:pt>
                <c:pt idx="922">
                  <c:v>-12.539634180834804</c:v>
                </c:pt>
                <c:pt idx="923">
                  <c:v>-12.549677905576031</c:v>
                </c:pt>
                <c:pt idx="924">
                  <c:v>-12.559721633721265</c:v>
                </c:pt>
                <c:pt idx="925">
                  <c:v>-12.569765365270353</c:v>
                </c:pt>
                <c:pt idx="926">
                  <c:v>-12.579809100223136</c:v>
                </c:pt>
                <c:pt idx="927">
                  <c:v>-12.589852838579455</c:v>
                </c:pt>
                <c:pt idx="928">
                  <c:v>-12.599896580339157</c:v>
                </c:pt>
                <c:pt idx="929">
                  <c:v>-12.609940325502086</c:v>
                </c:pt>
                <c:pt idx="930">
                  <c:v>-12.619984074068082</c:v>
                </c:pt>
                <c:pt idx="931">
                  <c:v>-12.63002782603699</c:v>
                </c:pt>
                <c:pt idx="932">
                  <c:v>-12.640071581408654</c:v>
                </c:pt>
                <c:pt idx="933">
                  <c:v>-12.650115340182914</c:v>
                </c:pt>
                <c:pt idx="934">
                  <c:v>-12.660159102359618</c:v>
                </c:pt>
                <c:pt idx="935">
                  <c:v>-12.670202867938606</c:v>
                </c:pt>
                <c:pt idx="936">
                  <c:v>-12.680246636919723</c:v>
                </c:pt>
                <c:pt idx="937">
                  <c:v>-12.690290409302811</c:v>
                </c:pt>
                <c:pt idx="938">
                  <c:v>-12.700334185087714</c:v>
                </c:pt>
                <c:pt idx="939">
                  <c:v>-12.710377964274276</c:v>
                </c:pt>
                <c:pt idx="940">
                  <c:v>-12.720421746862339</c:v>
                </c:pt>
                <c:pt idx="941">
                  <c:v>-12.730465532851747</c:v>
                </c:pt>
                <c:pt idx="942">
                  <c:v>-12.740509322242344</c:v>
                </c:pt>
                <c:pt idx="943">
                  <c:v>-12.750553115033972</c:v>
                </c:pt>
                <c:pt idx="944">
                  <c:v>-12.760596911226475</c:v>
                </c:pt>
                <c:pt idx="945">
                  <c:v>-12.770640710819697</c:v>
                </c:pt>
                <c:pt idx="946">
                  <c:v>-12.78068451381348</c:v>
                </c:pt>
                <c:pt idx="947">
                  <c:v>-12.790728320207668</c:v>
                </c:pt>
                <c:pt idx="948">
                  <c:v>-12.800772130002104</c:v>
                </c:pt>
                <c:pt idx="949">
                  <c:v>-12.810815943196632</c:v>
                </c:pt>
                <c:pt idx="950">
                  <c:v>-12.820859759791094</c:v>
                </c:pt>
                <c:pt idx="951">
                  <c:v>-12.830903579785335</c:v>
                </c:pt>
                <c:pt idx="952">
                  <c:v>-12.840947403179198</c:v>
                </c:pt>
                <c:pt idx="953">
                  <c:v>-12.850991229972527</c:v>
                </c:pt>
                <c:pt idx="954">
                  <c:v>-12.861035060165165</c:v>
                </c:pt>
                <c:pt idx="955">
                  <c:v>-12.871078893756954</c:v>
                </c:pt>
                <c:pt idx="956">
                  <c:v>-12.881122730747739</c:v>
                </c:pt>
                <c:pt idx="957">
                  <c:v>-12.891166571137363</c:v>
                </c:pt>
                <c:pt idx="958">
                  <c:v>-12.90121041492567</c:v>
                </c:pt>
                <c:pt idx="959">
                  <c:v>-12.9112542621125</c:v>
                </c:pt>
                <c:pt idx="960">
                  <c:v>-12.9212981126977</c:v>
                </c:pt>
                <c:pt idx="961">
                  <c:v>-12.931341966681112</c:v>
                </c:pt>
                <c:pt idx="962">
                  <c:v>-12.94138582406258</c:v>
                </c:pt>
                <c:pt idx="963">
                  <c:v>-12.951429684841948</c:v>
                </c:pt>
                <c:pt idx="964">
                  <c:v>-12.961473549019058</c:v>
                </c:pt>
                <c:pt idx="965">
                  <c:v>-12.971517416593752</c:v>
                </c:pt>
                <c:pt idx="966">
                  <c:v>-12.981561287565876</c:v>
                </c:pt>
                <c:pt idx="967">
                  <c:v>-12.991605161935274</c:v>
                </c:pt>
                <c:pt idx="968">
                  <c:v>-13.001649039701787</c:v>
                </c:pt>
                <c:pt idx="969">
                  <c:v>-13.01169292086526</c:v>
                </c:pt>
                <c:pt idx="970">
                  <c:v>-13.021736805425535</c:v>
                </c:pt>
                <c:pt idx="971">
                  <c:v>-13.031780693382457</c:v>
                </c:pt>
                <c:pt idx="972">
                  <c:v>-13.041824584735869</c:v>
                </c:pt>
                <c:pt idx="973">
                  <c:v>-13.051868479485613</c:v>
                </c:pt>
                <c:pt idx="974">
                  <c:v>-13.061912377631534</c:v>
                </c:pt>
                <c:pt idx="975">
                  <c:v>-13.071956279173476</c:v>
                </c:pt>
                <c:pt idx="976">
                  <c:v>-13.08200018411128</c:v>
                </c:pt>
                <c:pt idx="977">
                  <c:v>-13.092044092444791</c:v>
                </c:pt>
                <c:pt idx="978">
                  <c:v>-13.102088004173853</c:v>
                </c:pt>
                <c:pt idx="979">
                  <c:v>-13.112131919298308</c:v>
                </c:pt>
                <c:pt idx="980">
                  <c:v>-13.122175837818</c:v>
                </c:pt>
                <c:pt idx="981">
                  <c:v>-13.132219759732774</c:v>
                </c:pt>
                <c:pt idx="982">
                  <c:v>-13.142263685042471</c:v>
                </c:pt>
                <c:pt idx="983">
                  <c:v>-13.152307613746935</c:v>
                </c:pt>
                <c:pt idx="984">
                  <c:v>-13.162351545846009</c:v>
                </c:pt>
                <c:pt idx="985">
                  <c:v>-13.172395481339539</c:v>
                </c:pt>
                <c:pt idx="986">
                  <c:v>-13.182439420227366</c:v>
                </c:pt>
                <c:pt idx="987">
                  <c:v>-13.192483362509336</c:v>
                </c:pt>
                <c:pt idx="988">
                  <c:v>-13.202527308185289</c:v>
                </c:pt>
                <c:pt idx="989">
                  <c:v>-13.212571257255071</c:v>
                </c:pt>
                <c:pt idx="990">
                  <c:v>-13.222615209718525</c:v>
                </c:pt>
                <c:pt idx="991">
                  <c:v>-13.232659165575493</c:v>
                </c:pt>
                <c:pt idx="992">
                  <c:v>-13.24270312482582</c:v>
                </c:pt>
                <c:pt idx="993">
                  <c:v>-13.252747087469348</c:v>
                </c:pt>
                <c:pt idx="994">
                  <c:v>-13.262791053505923</c:v>
                </c:pt>
                <c:pt idx="995">
                  <c:v>-13.272835022935388</c:v>
                </c:pt>
                <c:pt idx="996">
                  <c:v>-13.282878995757585</c:v>
                </c:pt>
                <c:pt idx="997">
                  <c:v>-13.292922971972358</c:v>
                </c:pt>
                <c:pt idx="998">
                  <c:v>-13.302966951579551</c:v>
                </c:pt>
                <c:pt idx="999">
                  <c:v>-13.313010934579006</c:v>
                </c:pt>
                <c:pt idx="1000">
                  <c:v>-13.323054920970568</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15.5</c:v>
                </c:pt>
                <c:pt idx="1">
                  <c:v>93.060704685968091</c:v>
                </c:pt>
                <c:pt idx="2">
                  <c:v>170.62140937193618</c:v>
                </c:pt>
                <c:pt idx="3">
                  <c:v>169.12389988534142</c:v>
                </c:pt>
                <c:pt idx="4">
                  <c:v>170.62140937193618</c:v>
                </c:pt>
                <c:pt idx="5">
                  <c:v>165.46389988534139</c:v>
                </c:pt>
                <c:pt idx="6">
                  <c:v>170.62140937193618</c:v>
                </c:pt>
              </c:numCache>
            </c:numRef>
          </c:xVal>
          <c:yVal>
            <c:numRef>
              <c:f>Trajecto!$C$132:$C$138</c:f>
              <c:numCache>
                <c:formatCode>0</c:formatCode>
                <c:ptCount val="7"/>
                <c:pt idx="0">
                  <c:v>1465.9433074731642</c:v>
                </c:pt>
                <c:pt idx="1">
                  <c:v>732.97165373658208</c:v>
                </c:pt>
                <c:pt idx="2">
                  <c:v>0</c:v>
                </c:pt>
                <c:pt idx="3">
                  <c:v>45.741124088886806</c:v>
                </c:pt>
                <c:pt idx="4">
                  <c:v>0</c:v>
                </c:pt>
                <c:pt idx="5">
                  <c:v>17.151523013648635</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0</c:v>
                </c:pt>
                <c:pt idx="1">
                  <c:v>0</c:v>
                </c:pt>
                <c:pt idx="2">
                  <c:v>0</c:v>
                </c:pt>
                <c:pt idx="3">
                  <c:v>0</c:v>
                </c:pt>
                <c:pt idx="4">
                  <c:v>0</c:v>
                </c:pt>
                <c:pt idx="5">
                  <c:v>0</c:v>
                </c:pt>
                <c:pt idx="6">
                  <c:v>0</c:v>
                </c:pt>
              </c:numCache>
            </c:numRef>
          </c:xVal>
          <c:yVal>
            <c:numRef>
              <c:f>Trajecto!$C$149:$C$155</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35.100000000000186</c:v>
                </c:pt>
                <c:pt idx="500">
                  <c:v>35.200000000000188</c:v>
                </c:pt>
                <c:pt idx="501">
                  <c:v>35.300000000000189</c:v>
                </c:pt>
                <c:pt idx="502">
                  <c:v>35.40000000000019</c:v>
                </c:pt>
                <c:pt idx="503">
                  <c:v>35.500000000000192</c:v>
                </c:pt>
                <c:pt idx="504">
                  <c:v>35.600000000000193</c:v>
                </c:pt>
                <c:pt idx="505">
                  <c:v>35.700000000000195</c:v>
                </c:pt>
                <c:pt idx="506">
                  <c:v>35.800000000000196</c:v>
                </c:pt>
                <c:pt idx="507">
                  <c:v>35.900000000000198</c:v>
                </c:pt>
                <c:pt idx="508">
                  <c:v>36.000000000000199</c:v>
                </c:pt>
                <c:pt idx="509">
                  <c:v>36.1000000000002</c:v>
                </c:pt>
                <c:pt idx="510">
                  <c:v>36.200000000000202</c:v>
                </c:pt>
                <c:pt idx="511">
                  <c:v>36.300000000000203</c:v>
                </c:pt>
                <c:pt idx="512">
                  <c:v>36.400000000000205</c:v>
                </c:pt>
                <c:pt idx="513">
                  <c:v>36.500000000000206</c:v>
                </c:pt>
                <c:pt idx="514">
                  <c:v>36.600000000000207</c:v>
                </c:pt>
                <c:pt idx="515">
                  <c:v>36.600100000000211</c:v>
                </c:pt>
                <c:pt idx="516">
                  <c:v>36.600200000000214</c:v>
                </c:pt>
                <c:pt idx="517">
                  <c:v>36.600300000000217</c:v>
                </c:pt>
                <c:pt idx="518">
                  <c:v>36.600400000000221</c:v>
                </c:pt>
                <c:pt idx="519">
                  <c:v>36.600500000000224</c:v>
                </c:pt>
                <c:pt idx="520">
                  <c:v>36.600600000000227</c:v>
                </c:pt>
                <c:pt idx="521">
                  <c:v>36.600700000000231</c:v>
                </c:pt>
                <c:pt idx="522">
                  <c:v>36.600800000000234</c:v>
                </c:pt>
                <c:pt idx="523">
                  <c:v>36.600900000000237</c:v>
                </c:pt>
                <c:pt idx="524">
                  <c:v>36.601000000000241</c:v>
                </c:pt>
                <c:pt idx="525">
                  <c:v>36.601100000000244</c:v>
                </c:pt>
                <c:pt idx="526">
                  <c:v>36.601200000000247</c:v>
                </c:pt>
                <c:pt idx="527">
                  <c:v>36.601300000000251</c:v>
                </c:pt>
                <c:pt idx="528">
                  <c:v>36.601400000000254</c:v>
                </c:pt>
                <c:pt idx="529">
                  <c:v>36.601500000000257</c:v>
                </c:pt>
                <c:pt idx="530">
                  <c:v>36.601600000000261</c:v>
                </c:pt>
                <c:pt idx="531">
                  <c:v>36.601700000000264</c:v>
                </c:pt>
                <c:pt idx="532">
                  <c:v>36.601800000000267</c:v>
                </c:pt>
                <c:pt idx="533">
                  <c:v>36.601900000000271</c:v>
                </c:pt>
                <c:pt idx="534">
                  <c:v>36.602000000000274</c:v>
                </c:pt>
                <c:pt idx="535">
                  <c:v>36.602100000000277</c:v>
                </c:pt>
                <c:pt idx="536">
                  <c:v>36.602200000000281</c:v>
                </c:pt>
                <c:pt idx="537">
                  <c:v>36.602300000000284</c:v>
                </c:pt>
                <c:pt idx="538">
                  <c:v>36.602400000000287</c:v>
                </c:pt>
                <c:pt idx="539">
                  <c:v>36.60250000000029</c:v>
                </c:pt>
                <c:pt idx="540">
                  <c:v>36.602600000000294</c:v>
                </c:pt>
                <c:pt idx="541">
                  <c:v>36.602700000000297</c:v>
                </c:pt>
                <c:pt idx="542">
                  <c:v>36.6028000000003</c:v>
                </c:pt>
                <c:pt idx="543">
                  <c:v>36.602900000000304</c:v>
                </c:pt>
                <c:pt idx="544">
                  <c:v>36.603000000000307</c:v>
                </c:pt>
                <c:pt idx="545">
                  <c:v>36.60310000000031</c:v>
                </c:pt>
                <c:pt idx="546">
                  <c:v>36.603200000000314</c:v>
                </c:pt>
                <c:pt idx="547">
                  <c:v>36.603300000000317</c:v>
                </c:pt>
                <c:pt idx="548">
                  <c:v>36.60340000000032</c:v>
                </c:pt>
                <c:pt idx="549">
                  <c:v>36.603500000000324</c:v>
                </c:pt>
                <c:pt idx="550">
                  <c:v>36.603600000000327</c:v>
                </c:pt>
                <c:pt idx="551">
                  <c:v>36.60370000000033</c:v>
                </c:pt>
                <c:pt idx="552">
                  <c:v>36.603800000000334</c:v>
                </c:pt>
                <c:pt idx="553">
                  <c:v>36.603900000000337</c:v>
                </c:pt>
                <c:pt idx="554">
                  <c:v>36.60400000000034</c:v>
                </c:pt>
                <c:pt idx="555">
                  <c:v>36.604100000000344</c:v>
                </c:pt>
                <c:pt idx="556">
                  <c:v>36.604200000000347</c:v>
                </c:pt>
                <c:pt idx="557">
                  <c:v>36.60430000000035</c:v>
                </c:pt>
                <c:pt idx="558">
                  <c:v>36.604400000000354</c:v>
                </c:pt>
                <c:pt idx="559">
                  <c:v>36.604500000000357</c:v>
                </c:pt>
                <c:pt idx="560">
                  <c:v>36.60460000000036</c:v>
                </c:pt>
                <c:pt idx="561">
                  <c:v>36.604700000000364</c:v>
                </c:pt>
                <c:pt idx="562">
                  <c:v>36.604800000000367</c:v>
                </c:pt>
                <c:pt idx="563">
                  <c:v>36.60490000000037</c:v>
                </c:pt>
                <c:pt idx="564">
                  <c:v>36.605000000000373</c:v>
                </c:pt>
                <c:pt idx="565">
                  <c:v>36.605100000000377</c:v>
                </c:pt>
                <c:pt idx="566">
                  <c:v>36.60520000000038</c:v>
                </c:pt>
                <c:pt idx="567">
                  <c:v>36.605300000000383</c:v>
                </c:pt>
                <c:pt idx="568">
                  <c:v>36.605400000000387</c:v>
                </c:pt>
                <c:pt idx="569">
                  <c:v>36.60550000000039</c:v>
                </c:pt>
                <c:pt idx="570">
                  <c:v>36.605600000000393</c:v>
                </c:pt>
                <c:pt idx="571">
                  <c:v>36.605700000000397</c:v>
                </c:pt>
                <c:pt idx="572">
                  <c:v>36.6058000000004</c:v>
                </c:pt>
                <c:pt idx="573">
                  <c:v>36.605900000000403</c:v>
                </c:pt>
                <c:pt idx="574">
                  <c:v>36.606000000000407</c:v>
                </c:pt>
                <c:pt idx="575">
                  <c:v>36.60610000000041</c:v>
                </c:pt>
                <c:pt idx="576">
                  <c:v>36.606200000000413</c:v>
                </c:pt>
                <c:pt idx="577">
                  <c:v>36.606300000000417</c:v>
                </c:pt>
                <c:pt idx="578">
                  <c:v>36.60640000000042</c:v>
                </c:pt>
                <c:pt idx="579">
                  <c:v>36.606500000000423</c:v>
                </c:pt>
                <c:pt idx="580">
                  <c:v>36.606600000000427</c:v>
                </c:pt>
                <c:pt idx="581">
                  <c:v>36.60670000000043</c:v>
                </c:pt>
                <c:pt idx="582">
                  <c:v>36.606800000000433</c:v>
                </c:pt>
                <c:pt idx="583">
                  <c:v>36.606900000000437</c:v>
                </c:pt>
                <c:pt idx="584">
                  <c:v>36.60700000000044</c:v>
                </c:pt>
                <c:pt idx="585">
                  <c:v>36.607100000000443</c:v>
                </c:pt>
                <c:pt idx="586">
                  <c:v>36.607200000000446</c:v>
                </c:pt>
                <c:pt idx="587">
                  <c:v>36.60730000000045</c:v>
                </c:pt>
                <c:pt idx="588">
                  <c:v>36.607400000000453</c:v>
                </c:pt>
                <c:pt idx="589">
                  <c:v>36.607500000000456</c:v>
                </c:pt>
                <c:pt idx="590">
                  <c:v>36.60760000000046</c:v>
                </c:pt>
                <c:pt idx="591">
                  <c:v>36.607700000000463</c:v>
                </c:pt>
                <c:pt idx="592">
                  <c:v>36.607800000000466</c:v>
                </c:pt>
                <c:pt idx="593">
                  <c:v>36.60790000000047</c:v>
                </c:pt>
                <c:pt idx="594">
                  <c:v>36.608000000000473</c:v>
                </c:pt>
                <c:pt idx="595">
                  <c:v>36.608100000000476</c:v>
                </c:pt>
                <c:pt idx="596">
                  <c:v>36.60820000000048</c:v>
                </c:pt>
                <c:pt idx="597">
                  <c:v>36.608300000000483</c:v>
                </c:pt>
                <c:pt idx="598">
                  <c:v>36.608400000000486</c:v>
                </c:pt>
                <c:pt idx="599">
                  <c:v>36.60850000000049</c:v>
                </c:pt>
                <c:pt idx="600">
                  <c:v>36.608600000000493</c:v>
                </c:pt>
                <c:pt idx="601">
                  <c:v>36.608700000000496</c:v>
                </c:pt>
                <c:pt idx="602">
                  <c:v>36.6088000000005</c:v>
                </c:pt>
                <c:pt idx="603">
                  <c:v>36.608900000000503</c:v>
                </c:pt>
                <c:pt idx="604">
                  <c:v>36.609000000000506</c:v>
                </c:pt>
                <c:pt idx="605">
                  <c:v>36.60910000000051</c:v>
                </c:pt>
                <c:pt idx="606">
                  <c:v>36.609200000000513</c:v>
                </c:pt>
                <c:pt idx="607">
                  <c:v>36.609300000000516</c:v>
                </c:pt>
                <c:pt idx="608">
                  <c:v>36.60940000000052</c:v>
                </c:pt>
                <c:pt idx="609">
                  <c:v>36.609500000000523</c:v>
                </c:pt>
                <c:pt idx="610">
                  <c:v>36.609600000000526</c:v>
                </c:pt>
                <c:pt idx="611">
                  <c:v>36.609700000000529</c:v>
                </c:pt>
                <c:pt idx="612">
                  <c:v>36.609800000000533</c:v>
                </c:pt>
                <c:pt idx="613">
                  <c:v>36.609900000000536</c:v>
                </c:pt>
                <c:pt idx="614">
                  <c:v>36.610000000000539</c:v>
                </c:pt>
                <c:pt idx="615">
                  <c:v>36.610100000000543</c:v>
                </c:pt>
                <c:pt idx="616">
                  <c:v>36.610200000000546</c:v>
                </c:pt>
                <c:pt idx="617">
                  <c:v>36.610300000000549</c:v>
                </c:pt>
                <c:pt idx="618">
                  <c:v>36.610400000000553</c:v>
                </c:pt>
                <c:pt idx="619">
                  <c:v>36.610500000000556</c:v>
                </c:pt>
                <c:pt idx="620">
                  <c:v>36.610600000000559</c:v>
                </c:pt>
                <c:pt idx="621">
                  <c:v>36.610700000000563</c:v>
                </c:pt>
                <c:pt idx="622">
                  <c:v>36.610800000000566</c:v>
                </c:pt>
                <c:pt idx="623">
                  <c:v>36.610900000000569</c:v>
                </c:pt>
                <c:pt idx="624">
                  <c:v>36.611000000000573</c:v>
                </c:pt>
                <c:pt idx="625">
                  <c:v>36.611100000000576</c:v>
                </c:pt>
                <c:pt idx="626">
                  <c:v>36.611200000000579</c:v>
                </c:pt>
                <c:pt idx="627">
                  <c:v>36.611300000000583</c:v>
                </c:pt>
                <c:pt idx="628">
                  <c:v>36.611400000000586</c:v>
                </c:pt>
                <c:pt idx="629">
                  <c:v>36.611500000000589</c:v>
                </c:pt>
                <c:pt idx="630">
                  <c:v>36.611600000000593</c:v>
                </c:pt>
                <c:pt idx="631">
                  <c:v>36.611700000000596</c:v>
                </c:pt>
                <c:pt idx="632">
                  <c:v>36.611800000000599</c:v>
                </c:pt>
                <c:pt idx="633">
                  <c:v>36.611900000000603</c:v>
                </c:pt>
                <c:pt idx="634">
                  <c:v>36.612000000000606</c:v>
                </c:pt>
                <c:pt idx="635">
                  <c:v>36.612100000000609</c:v>
                </c:pt>
                <c:pt idx="636">
                  <c:v>36.612200000000612</c:v>
                </c:pt>
                <c:pt idx="637">
                  <c:v>36.612300000000616</c:v>
                </c:pt>
                <c:pt idx="638">
                  <c:v>36.612400000000619</c:v>
                </c:pt>
                <c:pt idx="639">
                  <c:v>36.612500000000622</c:v>
                </c:pt>
                <c:pt idx="640">
                  <c:v>36.612600000000626</c:v>
                </c:pt>
                <c:pt idx="641">
                  <c:v>36.612700000000629</c:v>
                </c:pt>
                <c:pt idx="642">
                  <c:v>36.612800000000632</c:v>
                </c:pt>
                <c:pt idx="643">
                  <c:v>36.612900000000636</c:v>
                </c:pt>
                <c:pt idx="644">
                  <c:v>36.613000000000639</c:v>
                </c:pt>
                <c:pt idx="645">
                  <c:v>36.613100000000642</c:v>
                </c:pt>
                <c:pt idx="646">
                  <c:v>36.613200000000646</c:v>
                </c:pt>
                <c:pt idx="647">
                  <c:v>36.613300000000649</c:v>
                </c:pt>
                <c:pt idx="648">
                  <c:v>36.613400000000652</c:v>
                </c:pt>
                <c:pt idx="649">
                  <c:v>36.613500000000656</c:v>
                </c:pt>
                <c:pt idx="650">
                  <c:v>36.613600000000659</c:v>
                </c:pt>
                <c:pt idx="651">
                  <c:v>36.613700000000662</c:v>
                </c:pt>
                <c:pt idx="652">
                  <c:v>36.613800000000666</c:v>
                </c:pt>
                <c:pt idx="653">
                  <c:v>36.613900000000669</c:v>
                </c:pt>
                <c:pt idx="654">
                  <c:v>36.614000000000672</c:v>
                </c:pt>
                <c:pt idx="655">
                  <c:v>36.614100000000676</c:v>
                </c:pt>
                <c:pt idx="656">
                  <c:v>36.614200000000679</c:v>
                </c:pt>
                <c:pt idx="657">
                  <c:v>36.614300000000682</c:v>
                </c:pt>
                <c:pt idx="658">
                  <c:v>36.614400000000686</c:v>
                </c:pt>
                <c:pt idx="659">
                  <c:v>36.614500000000689</c:v>
                </c:pt>
                <c:pt idx="660">
                  <c:v>36.614600000000692</c:v>
                </c:pt>
                <c:pt idx="661">
                  <c:v>36.614700000000695</c:v>
                </c:pt>
                <c:pt idx="662">
                  <c:v>36.614800000000699</c:v>
                </c:pt>
                <c:pt idx="663">
                  <c:v>36.614900000000702</c:v>
                </c:pt>
                <c:pt idx="664">
                  <c:v>36.615000000000705</c:v>
                </c:pt>
                <c:pt idx="665">
                  <c:v>36.615100000000709</c:v>
                </c:pt>
                <c:pt idx="666">
                  <c:v>36.615200000000712</c:v>
                </c:pt>
                <c:pt idx="667">
                  <c:v>36.615300000000715</c:v>
                </c:pt>
                <c:pt idx="668">
                  <c:v>36.615400000000719</c:v>
                </c:pt>
                <c:pt idx="669">
                  <c:v>36.615500000000722</c:v>
                </c:pt>
                <c:pt idx="670">
                  <c:v>36.615600000000725</c:v>
                </c:pt>
                <c:pt idx="671">
                  <c:v>36.615700000000729</c:v>
                </c:pt>
                <c:pt idx="672">
                  <c:v>36.615800000000732</c:v>
                </c:pt>
                <c:pt idx="673">
                  <c:v>36.615900000000735</c:v>
                </c:pt>
                <c:pt idx="674">
                  <c:v>36.616000000000739</c:v>
                </c:pt>
                <c:pt idx="675">
                  <c:v>36.616100000000742</c:v>
                </c:pt>
                <c:pt idx="676">
                  <c:v>36.616200000000745</c:v>
                </c:pt>
                <c:pt idx="677">
                  <c:v>36.616300000000749</c:v>
                </c:pt>
                <c:pt idx="678">
                  <c:v>36.616400000000752</c:v>
                </c:pt>
                <c:pt idx="679">
                  <c:v>36.616500000000755</c:v>
                </c:pt>
                <c:pt idx="680">
                  <c:v>36.616600000000759</c:v>
                </c:pt>
                <c:pt idx="681">
                  <c:v>36.616700000000762</c:v>
                </c:pt>
                <c:pt idx="682">
                  <c:v>36.616800000000765</c:v>
                </c:pt>
                <c:pt idx="683">
                  <c:v>36.616900000000769</c:v>
                </c:pt>
                <c:pt idx="684">
                  <c:v>36.617000000000772</c:v>
                </c:pt>
                <c:pt idx="685">
                  <c:v>36.617100000000775</c:v>
                </c:pt>
                <c:pt idx="686">
                  <c:v>36.617200000000778</c:v>
                </c:pt>
                <c:pt idx="687">
                  <c:v>36.617300000000782</c:v>
                </c:pt>
                <c:pt idx="688">
                  <c:v>36.617400000000785</c:v>
                </c:pt>
                <c:pt idx="689">
                  <c:v>36.617500000000788</c:v>
                </c:pt>
                <c:pt idx="690">
                  <c:v>36.617600000000792</c:v>
                </c:pt>
                <c:pt idx="691">
                  <c:v>36.617700000000795</c:v>
                </c:pt>
                <c:pt idx="692">
                  <c:v>36.617800000000798</c:v>
                </c:pt>
                <c:pt idx="693">
                  <c:v>36.617900000000802</c:v>
                </c:pt>
                <c:pt idx="694">
                  <c:v>36.618000000000805</c:v>
                </c:pt>
                <c:pt idx="695">
                  <c:v>36.618100000000808</c:v>
                </c:pt>
                <c:pt idx="696">
                  <c:v>36.618200000000812</c:v>
                </c:pt>
                <c:pt idx="697">
                  <c:v>36.618300000000815</c:v>
                </c:pt>
                <c:pt idx="698">
                  <c:v>36.618400000000818</c:v>
                </c:pt>
                <c:pt idx="699">
                  <c:v>36.618500000000822</c:v>
                </c:pt>
                <c:pt idx="700">
                  <c:v>36.618600000000825</c:v>
                </c:pt>
                <c:pt idx="701">
                  <c:v>36.618700000000828</c:v>
                </c:pt>
                <c:pt idx="702">
                  <c:v>36.618800000000832</c:v>
                </c:pt>
                <c:pt idx="703">
                  <c:v>36.618900000000835</c:v>
                </c:pt>
                <c:pt idx="704">
                  <c:v>36.619000000000838</c:v>
                </c:pt>
                <c:pt idx="705">
                  <c:v>36.619100000000842</c:v>
                </c:pt>
                <c:pt idx="706">
                  <c:v>36.619200000000845</c:v>
                </c:pt>
                <c:pt idx="707">
                  <c:v>36.619300000000848</c:v>
                </c:pt>
                <c:pt idx="708">
                  <c:v>36.619400000000851</c:v>
                </c:pt>
                <c:pt idx="709">
                  <c:v>36.619500000000855</c:v>
                </c:pt>
                <c:pt idx="710">
                  <c:v>36.619600000000858</c:v>
                </c:pt>
                <c:pt idx="711">
                  <c:v>36.619700000000861</c:v>
                </c:pt>
                <c:pt idx="712">
                  <c:v>36.619800000000865</c:v>
                </c:pt>
                <c:pt idx="713">
                  <c:v>36.619900000000868</c:v>
                </c:pt>
                <c:pt idx="714">
                  <c:v>36.620000000000871</c:v>
                </c:pt>
                <c:pt idx="715">
                  <c:v>36.620100000000875</c:v>
                </c:pt>
                <c:pt idx="716">
                  <c:v>36.620200000000878</c:v>
                </c:pt>
                <c:pt idx="717">
                  <c:v>36.620300000000881</c:v>
                </c:pt>
                <c:pt idx="718">
                  <c:v>36.620400000000885</c:v>
                </c:pt>
                <c:pt idx="719">
                  <c:v>36.620500000000888</c:v>
                </c:pt>
                <c:pt idx="720">
                  <c:v>36.620600000000891</c:v>
                </c:pt>
                <c:pt idx="721">
                  <c:v>36.620700000000895</c:v>
                </c:pt>
                <c:pt idx="722">
                  <c:v>36.620800000000898</c:v>
                </c:pt>
                <c:pt idx="723">
                  <c:v>36.620900000000901</c:v>
                </c:pt>
                <c:pt idx="724">
                  <c:v>36.621000000000905</c:v>
                </c:pt>
                <c:pt idx="725">
                  <c:v>36.621100000000908</c:v>
                </c:pt>
                <c:pt idx="726">
                  <c:v>36.621200000000911</c:v>
                </c:pt>
                <c:pt idx="727">
                  <c:v>36.621300000000915</c:v>
                </c:pt>
                <c:pt idx="728">
                  <c:v>36.621400000000918</c:v>
                </c:pt>
                <c:pt idx="729">
                  <c:v>36.621500000000921</c:v>
                </c:pt>
                <c:pt idx="730">
                  <c:v>36.621600000000925</c:v>
                </c:pt>
                <c:pt idx="731">
                  <c:v>36.621700000000928</c:v>
                </c:pt>
                <c:pt idx="732">
                  <c:v>36.621800000000931</c:v>
                </c:pt>
                <c:pt idx="733">
                  <c:v>36.621900000000934</c:v>
                </c:pt>
                <c:pt idx="734">
                  <c:v>36.622000000000938</c:v>
                </c:pt>
                <c:pt idx="735">
                  <c:v>36.622100000000941</c:v>
                </c:pt>
                <c:pt idx="736">
                  <c:v>36.622200000000944</c:v>
                </c:pt>
                <c:pt idx="737">
                  <c:v>36.622300000000948</c:v>
                </c:pt>
                <c:pt idx="738">
                  <c:v>36.622400000000951</c:v>
                </c:pt>
                <c:pt idx="739">
                  <c:v>36.622500000000954</c:v>
                </c:pt>
                <c:pt idx="740">
                  <c:v>36.622600000000958</c:v>
                </c:pt>
                <c:pt idx="741">
                  <c:v>36.622700000000961</c:v>
                </c:pt>
                <c:pt idx="742">
                  <c:v>36.622800000000964</c:v>
                </c:pt>
                <c:pt idx="743">
                  <c:v>36.622900000000968</c:v>
                </c:pt>
                <c:pt idx="744">
                  <c:v>36.623000000000971</c:v>
                </c:pt>
                <c:pt idx="745">
                  <c:v>36.623100000000974</c:v>
                </c:pt>
                <c:pt idx="746">
                  <c:v>36.623200000000978</c:v>
                </c:pt>
                <c:pt idx="747">
                  <c:v>36.623300000000981</c:v>
                </c:pt>
                <c:pt idx="748">
                  <c:v>36.623400000000984</c:v>
                </c:pt>
                <c:pt idx="749">
                  <c:v>36.623500000000988</c:v>
                </c:pt>
                <c:pt idx="750">
                  <c:v>36.623600000000991</c:v>
                </c:pt>
                <c:pt idx="751">
                  <c:v>36.623700000000994</c:v>
                </c:pt>
                <c:pt idx="752">
                  <c:v>36.623800000000998</c:v>
                </c:pt>
                <c:pt idx="753">
                  <c:v>36.623900000001001</c:v>
                </c:pt>
                <c:pt idx="754">
                  <c:v>36.624000000001004</c:v>
                </c:pt>
                <c:pt idx="755">
                  <c:v>36.624100000001008</c:v>
                </c:pt>
                <c:pt idx="756">
                  <c:v>36.624200000001011</c:v>
                </c:pt>
                <c:pt idx="757">
                  <c:v>36.624300000001014</c:v>
                </c:pt>
                <c:pt idx="758">
                  <c:v>36.624400000001017</c:v>
                </c:pt>
                <c:pt idx="759">
                  <c:v>36.624500000001021</c:v>
                </c:pt>
                <c:pt idx="760">
                  <c:v>36.624600000001024</c:v>
                </c:pt>
                <c:pt idx="761">
                  <c:v>36.624700000001027</c:v>
                </c:pt>
                <c:pt idx="762">
                  <c:v>36.624800000001031</c:v>
                </c:pt>
                <c:pt idx="763">
                  <c:v>36.624900000001034</c:v>
                </c:pt>
                <c:pt idx="764">
                  <c:v>36.625000000001037</c:v>
                </c:pt>
                <c:pt idx="765">
                  <c:v>36.625100000001041</c:v>
                </c:pt>
                <c:pt idx="766">
                  <c:v>36.625200000001044</c:v>
                </c:pt>
                <c:pt idx="767">
                  <c:v>36.625300000001047</c:v>
                </c:pt>
                <c:pt idx="768">
                  <c:v>36.625400000001051</c:v>
                </c:pt>
                <c:pt idx="769">
                  <c:v>36.625500000001054</c:v>
                </c:pt>
                <c:pt idx="770">
                  <c:v>36.625600000001057</c:v>
                </c:pt>
                <c:pt idx="771">
                  <c:v>36.625700000001061</c:v>
                </c:pt>
                <c:pt idx="772">
                  <c:v>36.625800000001064</c:v>
                </c:pt>
                <c:pt idx="773">
                  <c:v>36.625900000001067</c:v>
                </c:pt>
                <c:pt idx="774">
                  <c:v>36.626000000001071</c:v>
                </c:pt>
                <c:pt idx="775">
                  <c:v>36.626100000001074</c:v>
                </c:pt>
                <c:pt idx="776">
                  <c:v>36.626200000001077</c:v>
                </c:pt>
                <c:pt idx="777">
                  <c:v>36.626300000001081</c:v>
                </c:pt>
                <c:pt idx="778">
                  <c:v>36.626400000001084</c:v>
                </c:pt>
                <c:pt idx="779">
                  <c:v>36.626500000001087</c:v>
                </c:pt>
                <c:pt idx="780">
                  <c:v>36.626600000001091</c:v>
                </c:pt>
                <c:pt idx="781">
                  <c:v>36.626700000001094</c:v>
                </c:pt>
                <c:pt idx="782">
                  <c:v>36.626800000001097</c:v>
                </c:pt>
                <c:pt idx="783">
                  <c:v>36.6269000000011</c:v>
                </c:pt>
                <c:pt idx="784">
                  <c:v>36.627000000001104</c:v>
                </c:pt>
                <c:pt idx="785">
                  <c:v>36.627100000001107</c:v>
                </c:pt>
                <c:pt idx="786">
                  <c:v>36.62720000000111</c:v>
                </c:pt>
                <c:pt idx="787">
                  <c:v>36.627300000001114</c:v>
                </c:pt>
                <c:pt idx="788">
                  <c:v>36.627400000001117</c:v>
                </c:pt>
                <c:pt idx="789">
                  <c:v>36.62750000000112</c:v>
                </c:pt>
                <c:pt idx="790">
                  <c:v>36.627600000001124</c:v>
                </c:pt>
                <c:pt idx="791">
                  <c:v>36.627700000001127</c:v>
                </c:pt>
                <c:pt idx="792">
                  <c:v>36.62780000000113</c:v>
                </c:pt>
                <c:pt idx="793">
                  <c:v>36.627900000001134</c:v>
                </c:pt>
                <c:pt idx="794">
                  <c:v>36.628000000001137</c:v>
                </c:pt>
                <c:pt idx="795">
                  <c:v>36.62810000000114</c:v>
                </c:pt>
                <c:pt idx="796">
                  <c:v>36.628200000001144</c:v>
                </c:pt>
                <c:pt idx="797">
                  <c:v>36.628300000001147</c:v>
                </c:pt>
                <c:pt idx="798">
                  <c:v>36.62840000000115</c:v>
                </c:pt>
                <c:pt idx="799">
                  <c:v>36.628500000001154</c:v>
                </c:pt>
                <c:pt idx="800">
                  <c:v>36.628600000001157</c:v>
                </c:pt>
                <c:pt idx="801">
                  <c:v>36.62870000000116</c:v>
                </c:pt>
                <c:pt idx="802">
                  <c:v>36.628800000001164</c:v>
                </c:pt>
                <c:pt idx="803">
                  <c:v>36.628900000001167</c:v>
                </c:pt>
                <c:pt idx="804">
                  <c:v>36.62900000000117</c:v>
                </c:pt>
                <c:pt idx="805">
                  <c:v>36.629100000001173</c:v>
                </c:pt>
                <c:pt idx="806">
                  <c:v>36.629200000001177</c:v>
                </c:pt>
                <c:pt idx="807">
                  <c:v>36.62930000000118</c:v>
                </c:pt>
                <c:pt idx="808">
                  <c:v>36.629400000001183</c:v>
                </c:pt>
                <c:pt idx="809">
                  <c:v>36.629500000001187</c:v>
                </c:pt>
                <c:pt idx="810">
                  <c:v>36.62960000000119</c:v>
                </c:pt>
                <c:pt idx="811">
                  <c:v>36.629700000001193</c:v>
                </c:pt>
                <c:pt idx="812">
                  <c:v>36.629800000001197</c:v>
                </c:pt>
                <c:pt idx="813">
                  <c:v>36.6299000000012</c:v>
                </c:pt>
                <c:pt idx="814">
                  <c:v>36.630000000001203</c:v>
                </c:pt>
                <c:pt idx="815">
                  <c:v>36.630100000001207</c:v>
                </c:pt>
                <c:pt idx="816">
                  <c:v>36.63020000000121</c:v>
                </c:pt>
                <c:pt idx="817">
                  <c:v>36.630300000001213</c:v>
                </c:pt>
                <c:pt idx="818">
                  <c:v>36.630400000001217</c:v>
                </c:pt>
                <c:pt idx="819">
                  <c:v>36.63050000000122</c:v>
                </c:pt>
                <c:pt idx="820">
                  <c:v>36.630600000001223</c:v>
                </c:pt>
                <c:pt idx="821">
                  <c:v>36.630700000001227</c:v>
                </c:pt>
                <c:pt idx="822">
                  <c:v>36.63080000000123</c:v>
                </c:pt>
                <c:pt idx="823">
                  <c:v>36.630900000001233</c:v>
                </c:pt>
                <c:pt idx="824">
                  <c:v>36.631000000001237</c:v>
                </c:pt>
                <c:pt idx="825">
                  <c:v>36.63110000000124</c:v>
                </c:pt>
                <c:pt idx="826">
                  <c:v>36.631200000001243</c:v>
                </c:pt>
                <c:pt idx="827">
                  <c:v>36.631300000001247</c:v>
                </c:pt>
                <c:pt idx="828">
                  <c:v>36.63140000000125</c:v>
                </c:pt>
                <c:pt idx="829">
                  <c:v>36.631500000001253</c:v>
                </c:pt>
                <c:pt idx="830">
                  <c:v>36.631600000001256</c:v>
                </c:pt>
                <c:pt idx="831">
                  <c:v>36.63170000000126</c:v>
                </c:pt>
                <c:pt idx="832">
                  <c:v>36.631800000001263</c:v>
                </c:pt>
                <c:pt idx="833">
                  <c:v>36.631900000001266</c:v>
                </c:pt>
                <c:pt idx="834">
                  <c:v>36.63200000000127</c:v>
                </c:pt>
                <c:pt idx="835">
                  <c:v>36.632100000001273</c:v>
                </c:pt>
                <c:pt idx="836">
                  <c:v>36.632200000001276</c:v>
                </c:pt>
                <c:pt idx="837">
                  <c:v>36.63230000000128</c:v>
                </c:pt>
                <c:pt idx="838">
                  <c:v>36.632400000001283</c:v>
                </c:pt>
                <c:pt idx="839">
                  <c:v>36.632500000001286</c:v>
                </c:pt>
                <c:pt idx="840">
                  <c:v>36.63260000000129</c:v>
                </c:pt>
                <c:pt idx="841">
                  <c:v>36.632700000001293</c:v>
                </c:pt>
                <c:pt idx="842">
                  <c:v>36.632800000001296</c:v>
                </c:pt>
                <c:pt idx="843">
                  <c:v>36.6329000000013</c:v>
                </c:pt>
                <c:pt idx="844">
                  <c:v>36.633000000001303</c:v>
                </c:pt>
                <c:pt idx="845">
                  <c:v>36.633100000001306</c:v>
                </c:pt>
                <c:pt idx="846">
                  <c:v>36.63320000000131</c:v>
                </c:pt>
                <c:pt idx="847">
                  <c:v>36.633300000001313</c:v>
                </c:pt>
                <c:pt idx="848">
                  <c:v>36.633400000001316</c:v>
                </c:pt>
                <c:pt idx="849">
                  <c:v>36.63350000000132</c:v>
                </c:pt>
                <c:pt idx="850">
                  <c:v>36.633600000001323</c:v>
                </c:pt>
                <c:pt idx="851">
                  <c:v>36.633700000001326</c:v>
                </c:pt>
                <c:pt idx="852">
                  <c:v>36.63380000000133</c:v>
                </c:pt>
                <c:pt idx="853">
                  <c:v>36.633900000001333</c:v>
                </c:pt>
                <c:pt idx="854">
                  <c:v>36.634000000001336</c:v>
                </c:pt>
                <c:pt idx="855">
                  <c:v>36.634100000001339</c:v>
                </c:pt>
                <c:pt idx="856">
                  <c:v>36.634200000001343</c:v>
                </c:pt>
                <c:pt idx="857">
                  <c:v>36.634300000001346</c:v>
                </c:pt>
                <c:pt idx="858">
                  <c:v>36.634400000001349</c:v>
                </c:pt>
                <c:pt idx="859">
                  <c:v>36.634500000001353</c:v>
                </c:pt>
                <c:pt idx="860">
                  <c:v>36.634600000001356</c:v>
                </c:pt>
                <c:pt idx="861">
                  <c:v>36.634700000001359</c:v>
                </c:pt>
                <c:pt idx="862">
                  <c:v>36.634800000001363</c:v>
                </c:pt>
                <c:pt idx="863">
                  <c:v>36.634900000001366</c:v>
                </c:pt>
                <c:pt idx="864">
                  <c:v>36.635000000001369</c:v>
                </c:pt>
                <c:pt idx="865">
                  <c:v>36.635100000001373</c:v>
                </c:pt>
                <c:pt idx="866">
                  <c:v>36.635200000001376</c:v>
                </c:pt>
                <c:pt idx="867">
                  <c:v>36.635300000001379</c:v>
                </c:pt>
                <c:pt idx="868">
                  <c:v>36.635400000001383</c:v>
                </c:pt>
                <c:pt idx="869">
                  <c:v>36.635500000001386</c:v>
                </c:pt>
                <c:pt idx="870">
                  <c:v>36.635600000001389</c:v>
                </c:pt>
                <c:pt idx="871">
                  <c:v>36.635700000001393</c:v>
                </c:pt>
                <c:pt idx="872">
                  <c:v>36.635800000001396</c:v>
                </c:pt>
                <c:pt idx="873">
                  <c:v>36.635900000001399</c:v>
                </c:pt>
                <c:pt idx="874">
                  <c:v>36.636000000001403</c:v>
                </c:pt>
                <c:pt idx="875">
                  <c:v>36.636100000001406</c:v>
                </c:pt>
                <c:pt idx="876">
                  <c:v>36.636200000001409</c:v>
                </c:pt>
                <c:pt idx="877">
                  <c:v>36.636300000001413</c:v>
                </c:pt>
                <c:pt idx="878">
                  <c:v>36.636400000001416</c:v>
                </c:pt>
                <c:pt idx="879">
                  <c:v>36.636500000001419</c:v>
                </c:pt>
                <c:pt idx="880">
                  <c:v>36.636600000001422</c:v>
                </c:pt>
                <c:pt idx="881">
                  <c:v>36.636700000001426</c:v>
                </c:pt>
                <c:pt idx="882">
                  <c:v>36.636800000001429</c:v>
                </c:pt>
                <c:pt idx="883">
                  <c:v>36.636900000001432</c:v>
                </c:pt>
                <c:pt idx="884">
                  <c:v>36.637000000001436</c:v>
                </c:pt>
                <c:pt idx="885">
                  <c:v>36.637100000001439</c:v>
                </c:pt>
                <c:pt idx="886">
                  <c:v>36.637200000001442</c:v>
                </c:pt>
                <c:pt idx="887">
                  <c:v>36.637300000001446</c:v>
                </c:pt>
                <c:pt idx="888">
                  <c:v>36.637400000001449</c:v>
                </c:pt>
                <c:pt idx="889">
                  <c:v>36.637500000001452</c:v>
                </c:pt>
                <c:pt idx="890">
                  <c:v>36.637600000001456</c:v>
                </c:pt>
                <c:pt idx="891">
                  <c:v>36.637700000001459</c:v>
                </c:pt>
                <c:pt idx="892">
                  <c:v>36.637800000001462</c:v>
                </c:pt>
                <c:pt idx="893">
                  <c:v>36.637900000001466</c:v>
                </c:pt>
                <c:pt idx="894">
                  <c:v>36.638000000001469</c:v>
                </c:pt>
                <c:pt idx="895">
                  <c:v>36.638100000001472</c:v>
                </c:pt>
                <c:pt idx="896">
                  <c:v>36.638200000001476</c:v>
                </c:pt>
                <c:pt idx="897">
                  <c:v>36.638300000001479</c:v>
                </c:pt>
                <c:pt idx="898">
                  <c:v>36.638400000001482</c:v>
                </c:pt>
                <c:pt idx="899">
                  <c:v>36.638500000001486</c:v>
                </c:pt>
                <c:pt idx="900">
                  <c:v>36.638600000001489</c:v>
                </c:pt>
                <c:pt idx="901">
                  <c:v>36.638700000001492</c:v>
                </c:pt>
                <c:pt idx="902">
                  <c:v>36.638800000001496</c:v>
                </c:pt>
                <c:pt idx="903">
                  <c:v>36.638900000001499</c:v>
                </c:pt>
                <c:pt idx="904">
                  <c:v>36.639000000001502</c:v>
                </c:pt>
                <c:pt idx="905">
                  <c:v>36.639100000001505</c:v>
                </c:pt>
                <c:pt idx="906">
                  <c:v>36.639200000001509</c:v>
                </c:pt>
                <c:pt idx="907">
                  <c:v>36.639300000001512</c:v>
                </c:pt>
                <c:pt idx="908">
                  <c:v>36.639400000001515</c:v>
                </c:pt>
                <c:pt idx="909">
                  <c:v>36.639500000001519</c:v>
                </c:pt>
                <c:pt idx="910">
                  <c:v>36.639600000001522</c:v>
                </c:pt>
                <c:pt idx="911">
                  <c:v>36.639700000001525</c:v>
                </c:pt>
                <c:pt idx="912">
                  <c:v>36.639800000001529</c:v>
                </c:pt>
                <c:pt idx="913">
                  <c:v>36.639900000001532</c:v>
                </c:pt>
                <c:pt idx="914">
                  <c:v>36.640000000001535</c:v>
                </c:pt>
                <c:pt idx="915">
                  <c:v>36.640100000001539</c:v>
                </c:pt>
                <c:pt idx="916">
                  <c:v>36.640200000001542</c:v>
                </c:pt>
                <c:pt idx="917">
                  <c:v>36.640300000001545</c:v>
                </c:pt>
                <c:pt idx="918">
                  <c:v>36.640400000001549</c:v>
                </c:pt>
                <c:pt idx="919">
                  <c:v>36.640500000001552</c:v>
                </c:pt>
                <c:pt idx="920">
                  <c:v>36.640600000001555</c:v>
                </c:pt>
                <c:pt idx="921">
                  <c:v>36.640700000001559</c:v>
                </c:pt>
                <c:pt idx="922">
                  <c:v>36.640800000001562</c:v>
                </c:pt>
                <c:pt idx="923">
                  <c:v>36.640900000001565</c:v>
                </c:pt>
                <c:pt idx="924">
                  <c:v>36.641000000001569</c:v>
                </c:pt>
                <c:pt idx="925">
                  <c:v>36.641100000001572</c:v>
                </c:pt>
                <c:pt idx="926">
                  <c:v>36.641200000001575</c:v>
                </c:pt>
                <c:pt idx="927">
                  <c:v>36.641300000001578</c:v>
                </c:pt>
                <c:pt idx="928">
                  <c:v>36.641400000001582</c:v>
                </c:pt>
                <c:pt idx="929">
                  <c:v>36.641500000001585</c:v>
                </c:pt>
                <c:pt idx="930">
                  <c:v>36.641600000001588</c:v>
                </c:pt>
                <c:pt idx="931">
                  <c:v>36.641700000001592</c:v>
                </c:pt>
                <c:pt idx="932">
                  <c:v>36.641800000001595</c:v>
                </c:pt>
                <c:pt idx="933">
                  <c:v>36.641900000001598</c:v>
                </c:pt>
                <c:pt idx="934">
                  <c:v>36.642000000001602</c:v>
                </c:pt>
                <c:pt idx="935">
                  <c:v>36.642100000001605</c:v>
                </c:pt>
                <c:pt idx="936">
                  <c:v>36.642200000001608</c:v>
                </c:pt>
                <c:pt idx="937">
                  <c:v>36.642300000001612</c:v>
                </c:pt>
                <c:pt idx="938">
                  <c:v>36.642400000001615</c:v>
                </c:pt>
                <c:pt idx="939">
                  <c:v>36.642500000001618</c:v>
                </c:pt>
                <c:pt idx="940">
                  <c:v>36.642600000001622</c:v>
                </c:pt>
                <c:pt idx="941">
                  <c:v>36.642700000001625</c:v>
                </c:pt>
                <c:pt idx="942">
                  <c:v>36.642800000001628</c:v>
                </c:pt>
                <c:pt idx="943">
                  <c:v>36.642900000001632</c:v>
                </c:pt>
                <c:pt idx="944">
                  <c:v>36.643000000001635</c:v>
                </c:pt>
                <c:pt idx="945">
                  <c:v>36.643100000001638</c:v>
                </c:pt>
                <c:pt idx="946">
                  <c:v>36.643200000001642</c:v>
                </c:pt>
                <c:pt idx="947">
                  <c:v>36.643300000001645</c:v>
                </c:pt>
                <c:pt idx="948">
                  <c:v>36.643400000001648</c:v>
                </c:pt>
                <c:pt idx="949">
                  <c:v>36.643500000001652</c:v>
                </c:pt>
                <c:pt idx="950">
                  <c:v>36.643600000001655</c:v>
                </c:pt>
                <c:pt idx="951">
                  <c:v>36.643700000001658</c:v>
                </c:pt>
                <c:pt idx="952">
                  <c:v>36.643800000001661</c:v>
                </c:pt>
                <c:pt idx="953">
                  <c:v>36.643900000001665</c:v>
                </c:pt>
                <c:pt idx="954">
                  <c:v>36.644000000001668</c:v>
                </c:pt>
                <c:pt idx="955">
                  <c:v>36.644100000001671</c:v>
                </c:pt>
                <c:pt idx="956">
                  <c:v>36.644200000001675</c:v>
                </c:pt>
                <c:pt idx="957">
                  <c:v>36.644300000001678</c:v>
                </c:pt>
                <c:pt idx="958">
                  <c:v>36.644400000001681</c:v>
                </c:pt>
                <c:pt idx="959">
                  <c:v>36.644500000001685</c:v>
                </c:pt>
                <c:pt idx="960">
                  <c:v>36.644600000001688</c:v>
                </c:pt>
                <c:pt idx="961">
                  <c:v>36.644700000001691</c:v>
                </c:pt>
                <c:pt idx="962">
                  <c:v>36.644800000001695</c:v>
                </c:pt>
                <c:pt idx="963">
                  <c:v>36.644900000001698</c:v>
                </c:pt>
                <c:pt idx="964">
                  <c:v>36.645000000001701</c:v>
                </c:pt>
                <c:pt idx="965">
                  <c:v>36.645100000001705</c:v>
                </c:pt>
                <c:pt idx="966">
                  <c:v>36.645200000001708</c:v>
                </c:pt>
                <c:pt idx="967">
                  <c:v>36.645300000001711</c:v>
                </c:pt>
                <c:pt idx="968">
                  <c:v>36.645400000001715</c:v>
                </c:pt>
                <c:pt idx="969">
                  <c:v>36.645500000001718</c:v>
                </c:pt>
                <c:pt idx="970">
                  <c:v>36.645600000001721</c:v>
                </c:pt>
                <c:pt idx="971">
                  <c:v>36.645700000001725</c:v>
                </c:pt>
                <c:pt idx="972">
                  <c:v>36.645800000001728</c:v>
                </c:pt>
                <c:pt idx="973">
                  <c:v>36.645900000001731</c:v>
                </c:pt>
                <c:pt idx="974">
                  <c:v>36.646000000001735</c:v>
                </c:pt>
                <c:pt idx="975">
                  <c:v>36.646100000001738</c:v>
                </c:pt>
                <c:pt idx="976">
                  <c:v>36.646200000001741</c:v>
                </c:pt>
                <c:pt idx="977">
                  <c:v>36.646300000001744</c:v>
                </c:pt>
                <c:pt idx="978">
                  <c:v>36.646400000001748</c:v>
                </c:pt>
                <c:pt idx="979">
                  <c:v>36.646500000001751</c:v>
                </c:pt>
                <c:pt idx="980">
                  <c:v>36.646600000001754</c:v>
                </c:pt>
                <c:pt idx="981">
                  <c:v>36.646700000001758</c:v>
                </c:pt>
                <c:pt idx="982">
                  <c:v>36.646800000001761</c:v>
                </c:pt>
                <c:pt idx="983">
                  <c:v>36.646900000001764</c:v>
                </c:pt>
                <c:pt idx="984">
                  <c:v>36.647000000001768</c:v>
                </c:pt>
                <c:pt idx="985">
                  <c:v>36.647100000001771</c:v>
                </c:pt>
                <c:pt idx="986">
                  <c:v>36.647200000001774</c:v>
                </c:pt>
                <c:pt idx="987">
                  <c:v>36.647300000001778</c:v>
                </c:pt>
                <c:pt idx="988">
                  <c:v>36.647400000001781</c:v>
                </c:pt>
                <c:pt idx="989">
                  <c:v>36.647500000001784</c:v>
                </c:pt>
                <c:pt idx="990">
                  <c:v>36.647600000001788</c:v>
                </c:pt>
                <c:pt idx="991">
                  <c:v>36.647700000001791</c:v>
                </c:pt>
                <c:pt idx="992">
                  <c:v>36.647800000001794</c:v>
                </c:pt>
                <c:pt idx="993">
                  <c:v>36.647900000001798</c:v>
                </c:pt>
                <c:pt idx="994">
                  <c:v>36.648000000001801</c:v>
                </c:pt>
                <c:pt idx="995">
                  <c:v>36.648100000001804</c:v>
                </c:pt>
                <c:pt idx="996">
                  <c:v>36.648200000001808</c:v>
                </c:pt>
                <c:pt idx="997">
                  <c:v>36.648300000001811</c:v>
                </c:pt>
                <c:pt idx="998">
                  <c:v>36.648400000001814</c:v>
                </c:pt>
                <c:pt idx="999">
                  <c:v>36.648500000001818</c:v>
                </c:pt>
                <c:pt idx="1000">
                  <c:v>36.648600000001821</c:v>
                </c:pt>
              </c:numCache>
            </c:numRef>
          </c:xVal>
          <c:yVal>
            <c:numRef>
              <c:f>Calculs!$AE$4:$AE$1004</c:f>
              <c:numCache>
                <c:formatCode>0</c:formatCode>
                <c:ptCount val="1001"/>
                <c:pt idx="0">
                  <c:v>497.16938386972515</c:v>
                </c:pt>
                <c:pt idx="1">
                  <c:v>498.89571863685381</c:v>
                </c:pt>
                <c:pt idx="2">
                  <c:v>500.62286602706746</c:v>
                </c:pt>
                <c:pt idx="3">
                  <c:v>502.35397500412506</c:v>
                </c:pt>
                <c:pt idx="4">
                  <c:v>504.0896126384792</c:v>
                </c:pt>
                <c:pt idx="5">
                  <c:v>505.82922692069394</c:v>
                </c:pt>
                <c:pt idx="6">
                  <c:v>507.57260713217528</c:v>
                </c:pt>
                <c:pt idx="7">
                  <c:v>509.31971309683456</c:v>
                </c:pt>
                <c:pt idx="8">
                  <c:v>511.0705047042224</c:v>
                </c:pt>
                <c:pt idx="9">
                  <c:v>512.82494191034959</c:v>
                </c:pt>
                <c:pt idx="10">
                  <c:v>514.58298473849538</c:v>
                </c:pt>
                <c:pt idx="11">
                  <c:v>516.34459328000275</c:v>
                </c:pt>
                <c:pt idx="12">
                  <c:v>518.109727695061</c:v>
                </c:pt>
                <c:pt idx="13">
                  <c:v>519.87834821347565</c:v>
                </c:pt>
                <c:pt idx="14">
                  <c:v>521.65041513542531</c:v>
                </c:pt>
                <c:pt idx="15">
                  <c:v>523.4258888322064</c:v>
                </c:pt>
                <c:pt idx="16">
                  <c:v>525.20472974696497</c:v>
                </c:pt>
                <c:pt idx="17">
                  <c:v>526.98689839541555</c:v>
                </c:pt>
                <c:pt idx="18">
                  <c:v>528.77235536654837</c:v>
                </c:pt>
                <c:pt idx="19">
                  <c:v>530.56106132332297</c:v>
                </c:pt>
                <c:pt idx="20">
                  <c:v>532.35297700335036</c:v>
                </c:pt>
                <c:pt idx="21">
                  <c:v>534.14806321956223</c:v>
                </c:pt>
                <c:pt idx="22">
                  <c:v>535.94628086086789</c:v>
                </c:pt>
                <c:pt idx="23">
                  <c:v>537.74759089279883</c:v>
                </c:pt>
                <c:pt idx="24">
                  <c:v>539.5519543581413</c:v>
                </c:pt>
                <c:pt idx="25">
                  <c:v>541.35933237755637</c:v>
                </c:pt>
                <c:pt idx="26">
                  <c:v>543.16968615018823</c:v>
                </c:pt>
                <c:pt idx="27">
                  <c:v>544.98297695425981</c:v>
                </c:pt>
                <c:pt idx="28">
                  <c:v>546.79916614765705</c:v>
                </c:pt>
                <c:pt idx="29">
                  <c:v>548.61821516850068</c:v>
                </c:pt>
                <c:pt idx="30">
                  <c:v>550.44008553570643</c:v>
                </c:pt>
                <c:pt idx="31">
                  <c:v>552.26473884953316</c:v>
                </c:pt>
                <c:pt idx="32">
                  <c:v>554.09213679211916</c:v>
                </c:pt>
                <c:pt idx="33">
                  <c:v>555.92224112800693</c:v>
                </c:pt>
                <c:pt idx="34">
                  <c:v>557.75501370465633</c:v>
                </c:pt>
                <c:pt idx="35">
                  <c:v>559.59041645294565</c:v>
                </c:pt>
                <c:pt idx="36">
                  <c:v>561.42841138766175</c:v>
                </c:pt>
                <c:pt idx="37">
                  <c:v>563.26896060797856</c:v>
                </c:pt>
                <c:pt idx="38">
                  <c:v>565.11202629792365</c:v>
                </c:pt>
                <c:pt idx="39">
                  <c:v>566.95757072683443</c:v>
                </c:pt>
                <c:pt idx="40">
                  <c:v>568.80555624980207</c:v>
                </c:pt>
                <c:pt idx="41">
                  <c:v>570.65594530810483</c:v>
                </c:pt>
                <c:pt idx="42">
                  <c:v>572.50870042963038</c:v>
                </c:pt>
                <c:pt idx="43">
                  <c:v>574.36378422928669</c:v>
                </c:pt>
                <c:pt idx="44">
                  <c:v>576.22115940940182</c:v>
                </c:pt>
                <c:pt idx="45">
                  <c:v>578.08078876011325</c:v>
                </c:pt>
                <c:pt idx="46">
                  <c:v>579.94263515974637</c:v>
                </c:pt>
                <c:pt idx="47">
                  <c:v>581.80666157518158</c:v>
                </c:pt>
                <c:pt idx="48">
                  <c:v>583.67283106221134</c:v>
                </c:pt>
                <c:pt idx="49">
                  <c:v>585.54110676588652</c:v>
                </c:pt>
                <c:pt idx="50">
                  <c:v>587.41145192085196</c:v>
                </c:pt>
                <c:pt idx="51">
                  <c:v>589.28382985167161</c:v>
                </c:pt>
                <c:pt idx="52">
                  <c:v>591.15820397314349</c:v>
                </c:pt>
                <c:pt idx="53">
                  <c:v>593.03453779060419</c:v>
                </c:pt>
                <c:pt idx="54">
                  <c:v>594.91279490022328</c:v>
                </c:pt>
                <c:pt idx="55">
                  <c:v>596.79293898928722</c:v>
                </c:pt>
                <c:pt idx="56">
                  <c:v>598.67493383647388</c:v>
                </c:pt>
                <c:pt idx="57">
                  <c:v>600.55874331211612</c:v>
                </c:pt>
                <c:pt idx="58">
                  <c:v>602.44433137845647</c:v>
                </c:pt>
                <c:pt idx="59">
                  <c:v>604.33166208989121</c:v>
                </c:pt>
                <c:pt idx="60">
                  <c:v>606.22069959320504</c:v>
                </c:pt>
                <c:pt idx="61">
                  <c:v>608.11140812779593</c:v>
                </c:pt>
                <c:pt idx="62">
                  <c:v>610.00375202589078</c:v>
                </c:pt>
                <c:pt idx="63">
                  <c:v>611.89768087486266</c:v>
                </c:pt>
                <c:pt idx="64">
                  <c:v>613.79311471546873</c:v>
                </c:pt>
                <c:pt idx="65">
                  <c:v>615.68995896065621</c:v>
                </c:pt>
                <c:pt idx="66">
                  <c:v>617.58811927899751</c:v>
                </c:pt>
                <c:pt idx="67">
                  <c:v>619.48748799290047</c:v>
                </c:pt>
                <c:pt idx="68">
                  <c:v>621.38793051129596</c:v>
                </c:pt>
                <c:pt idx="69">
                  <c:v>623.28927481555581</c:v>
                </c:pt>
                <c:pt idx="70">
                  <c:v>625.19130097568188</c:v>
                </c:pt>
                <c:pt idx="71">
                  <c:v>627.09376548942146</c:v>
                </c:pt>
                <c:pt idx="72">
                  <c:v>628.99642555996002</c:v>
                </c:pt>
                <c:pt idx="73">
                  <c:v>630.89903910368525</c:v>
                </c:pt>
                <c:pt idx="74">
                  <c:v>632.80136475756046</c:v>
                </c:pt>
                <c:pt idx="75">
                  <c:v>634.70316188611059</c:v>
                </c:pt>
                <c:pt idx="76">
                  <c:v>636.60419058802518</c:v>
                </c:pt>
                <c:pt idx="77">
                  <c:v>638.50421170238076</c:v>
                </c:pt>
                <c:pt idx="78">
                  <c:v>640.40298681448792</c:v>
                </c:pt>
                <c:pt idx="79">
                  <c:v>642.30027826136597</c:v>
                </c:pt>
                <c:pt idx="80">
                  <c:v>644.1958491368498</c:v>
                </c:pt>
                <c:pt idx="81">
                  <c:v>646.08949207993192</c:v>
                </c:pt>
                <c:pt idx="82">
                  <c:v>647.98105796915502</c:v>
                </c:pt>
                <c:pt idx="83">
                  <c:v>649.87042694992761</c:v>
                </c:pt>
                <c:pt idx="84">
                  <c:v>651.75747955317843</c:v>
                </c:pt>
                <c:pt idx="85">
                  <c:v>653.64209669501372</c:v>
                </c:pt>
                <c:pt idx="86">
                  <c:v>655.52415967629292</c:v>
                </c:pt>
                <c:pt idx="87">
                  <c:v>657.40355018212347</c:v>
                </c:pt>
                <c:pt idx="88">
                  <c:v>659.28015028127641</c:v>
                </c:pt>
                <c:pt idx="89">
                  <c:v>661.1538515192068</c:v>
                </c:pt>
                <c:pt idx="90">
                  <c:v>663.02456398013078</c:v>
                </c:pt>
                <c:pt idx="91">
                  <c:v>664.89220713015084</c:v>
                </c:pt>
                <c:pt idx="92">
                  <c:v>666.7567006911047</c:v>
                </c:pt>
                <c:pt idx="93">
                  <c:v>668.61796691311338</c:v>
                </c:pt>
                <c:pt idx="94">
                  <c:v>670.47593283928597</c:v>
                </c:pt>
                <c:pt idx="95">
                  <c:v>672.33052801527538</c:v>
                </c:pt>
                <c:pt idx="96">
                  <c:v>674.18168220664199</c:v>
                </c:pt>
                <c:pt idx="97">
                  <c:v>676.02933449238003</c:v>
                </c:pt>
                <c:pt idx="98">
                  <c:v>677.87344232687974</c:v>
                </c:pt>
                <c:pt idx="99">
                  <c:v>679.71397238116106</c:v>
                </c:pt>
                <c:pt idx="100">
                  <c:v>681.5508914158836</c:v>
                </c:pt>
                <c:pt idx="101">
                  <c:v>683.38416628063533</c:v>
                </c:pt>
                <c:pt idx="102">
                  <c:v>685.21376391321951</c:v>
                </c:pt>
                <c:pt idx="103">
                  <c:v>687.03965133894042</c:v>
                </c:pt>
                <c:pt idx="104">
                  <c:v>688.86179566988733</c:v>
                </c:pt>
                <c:pt idx="105">
                  <c:v>690.68016410421751</c:v>
                </c:pt>
                <c:pt idx="106">
                  <c:v>692.49472392543805</c:v>
                </c:pt>
                <c:pt idx="107">
                  <c:v>694.30544250168589</c:v>
                </c:pt>
                <c:pt idx="108">
                  <c:v>696.11228728500714</c:v>
                </c:pt>
                <c:pt idx="109">
                  <c:v>697.91523717679945</c:v>
                </c:pt>
                <c:pt idx="110">
                  <c:v>699.7142938537495</c:v>
                </c:pt>
                <c:pt idx="111">
                  <c:v>701.50947032298427</c:v>
                </c:pt>
                <c:pt idx="112">
                  <c:v>703.30077951737087</c:v>
                </c:pt>
                <c:pt idx="113">
                  <c:v>705.0882342960798</c:v>
                </c:pt>
                <c:pt idx="114">
                  <c:v>706.87184744514286</c:v>
                </c:pt>
                <c:pt idx="115">
                  <c:v>708.65163167800574</c:v>
                </c:pt>
                <c:pt idx="116">
                  <c:v>710.42759963607534</c:v>
                </c:pt>
                <c:pt idx="117">
                  <c:v>712.19976388926204</c:v>
                </c:pt>
                <c:pt idx="118">
                  <c:v>713.96813693651632</c:v>
                </c:pt>
                <c:pt idx="119">
                  <c:v>715.73273120636122</c:v>
                </c:pt>
                <c:pt idx="120">
                  <c:v>717.49355905741902</c:v>
                </c:pt>
                <c:pt idx="121">
                  <c:v>719.2506327789331</c:v>
                </c:pt>
                <c:pt idx="122">
                  <c:v>721.00396459128535</c:v>
                </c:pt>
                <c:pt idx="123">
                  <c:v>722.75356664650815</c:v>
                </c:pt>
                <c:pt idx="124">
                  <c:v>724.49945102879201</c:v>
                </c:pt>
                <c:pt idx="125">
                  <c:v>726.24162975498814</c:v>
                </c:pt>
                <c:pt idx="126">
                  <c:v>727.98011477510659</c:v>
                </c:pt>
                <c:pt idx="127">
                  <c:v>729.71491797280953</c:v>
                </c:pt>
                <c:pt idx="128">
                  <c:v>731.44605116590037</c:v>
                </c:pt>
                <c:pt idx="129">
                  <c:v>733.1735261068078</c:v>
                </c:pt>
                <c:pt idx="130">
                  <c:v>734.89735448306567</c:v>
                </c:pt>
                <c:pt idx="131">
                  <c:v>736.61754791778844</c:v>
                </c:pt>
                <c:pt idx="132">
                  <c:v>738.3341179701423</c:v>
                </c:pt>
                <c:pt idx="133">
                  <c:v>740.04707613581149</c:v>
                </c:pt>
                <c:pt idx="134">
                  <c:v>741.75643384746127</c:v>
                </c:pt>
                <c:pt idx="135">
                  <c:v>743.46220247519568</c:v>
                </c:pt>
                <c:pt idx="136">
                  <c:v>745.16439332701157</c:v>
                </c:pt>
                <c:pt idx="137">
                  <c:v>746.86301764924883</c:v>
                </c:pt>
                <c:pt idx="138">
                  <c:v>748.55808662703555</c:v>
                </c:pt>
                <c:pt idx="139">
                  <c:v>750.24961138473031</c:v>
                </c:pt>
                <c:pt idx="140">
                  <c:v>751.93760298635937</c:v>
                </c:pt>
                <c:pt idx="141">
                  <c:v>753.62207243605087</c:v>
                </c:pt>
                <c:pt idx="142">
                  <c:v>755.30303067846421</c:v>
                </c:pt>
                <c:pt idx="143">
                  <c:v>756.9804885992163</c:v>
                </c:pt>
                <c:pt idx="144">
                  <c:v>758.6544570253036</c:v>
                </c:pt>
                <c:pt idx="145">
                  <c:v>760.32494672552025</c:v>
                </c:pt>
                <c:pt idx="146">
                  <c:v>761.9919684108728</c:v>
                </c:pt>
                <c:pt idx="147">
                  <c:v>763.65553273499086</c:v>
                </c:pt>
                <c:pt idx="148">
                  <c:v>765.31565029453463</c:v>
                </c:pt>
                <c:pt idx="149">
                  <c:v>766.9723316295981</c:v>
                </c:pt>
                <c:pt idx="150">
                  <c:v>768.62558722410893</c:v>
                </c:pt>
                <c:pt idx="151">
                  <c:v>770.27542750622513</c:v>
                </c:pt>
                <c:pt idx="152">
                  <c:v>771.92186284872776</c:v>
                </c:pt>
                <c:pt idx="153">
                  <c:v>773.56490356941026</c:v>
                </c:pt>
                <c:pt idx="154">
                  <c:v>775.20455993146459</c:v>
                </c:pt>
                <c:pt idx="155">
                  <c:v>776.84084214386348</c:v>
                </c:pt>
                <c:pt idx="156">
                  <c:v>778.47376036173966</c:v>
                </c:pt>
                <c:pt idx="157">
                  <c:v>780.10332468676199</c:v>
                </c:pt>
                <c:pt idx="158">
                  <c:v>781.72954516750758</c:v>
                </c:pt>
                <c:pt idx="159">
                  <c:v>783.35243179983115</c:v>
                </c:pt>
                <c:pt idx="160">
                  <c:v>784.97199452723135</c:v>
                </c:pt>
                <c:pt idx="161">
                  <c:v>786.58824324121304</c:v>
                </c:pt>
                <c:pt idx="162">
                  <c:v>788.2011877816476</c:v>
                </c:pt>
                <c:pt idx="163">
                  <c:v>789.81083793712889</c:v>
                </c:pt>
                <c:pt idx="164">
                  <c:v>791.417203445327</c:v>
                </c:pt>
                <c:pt idx="165">
                  <c:v>793.02029399333867</c:v>
                </c:pt>
                <c:pt idx="166">
                  <c:v>794.62011921803446</c:v>
                </c:pt>
                <c:pt idx="167">
                  <c:v>796.21668870640315</c:v>
                </c:pt>
                <c:pt idx="168">
                  <c:v>797.81001199589298</c:v>
                </c:pt>
                <c:pt idx="169">
                  <c:v>799.40009857475036</c:v>
                </c:pt>
                <c:pt idx="170">
                  <c:v>800.98695788235523</c:v>
                </c:pt>
                <c:pt idx="171">
                  <c:v>802.57059930955359</c:v>
                </c:pt>
                <c:pt idx="172">
                  <c:v>804.15103219898754</c:v>
                </c:pt>
                <c:pt idx="173">
                  <c:v>805.7282658454219</c:v>
                </c:pt>
                <c:pt idx="174">
                  <c:v>807.3023094960688</c:v>
                </c:pt>
                <c:pt idx="175">
                  <c:v>808.8731723509087</c:v>
                </c:pt>
                <c:pt idx="176">
                  <c:v>810.44086356300943</c:v>
                </c:pt>
                <c:pt idx="177">
                  <c:v>812.00539223884175</c:v>
                </c:pt>
                <c:pt idx="178">
                  <c:v>813.56676743859316</c:v>
                </c:pt>
                <c:pt idx="179">
                  <c:v>815.12499817647802</c:v>
                </c:pt>
                <c:pt idx="180">
                  <c:v>816.68009342104597</c:v>
                </c:pt>
                <c:pt idx="181">
                  <c:v>818.23206209548709</c:v>
                </c:pt>
                <c:pt idx="182">
                  <c:v>819.78091307793477</c:v>
                </c:pt>
                <c:pt idx="183">
                  <c:v>821.32665520176624</c:v>
                </c:pt>
                <c:pt idx="184">
                  <c:v>822.86929725590016</c:v>
                </c:pt>
                <c:pt idx="185">
                  <c:v>824.40884798509182</c:v>
                </c:pt>
                <c:pt idx="186">
                  <c:v>825.94531609022613</c:v>
                </c:pt>
                <c:pt idx="187">
                  <c:v>827.47871022860784</c:v>
                </c:pt>
                <c:pt idx="188">
                  <c:v>829.00903901424977</c:v>
                </c:pt>
                <c:pt idx="189">
                  <c:v>830.53631101815802</c:v>
                </c:pt>
                <c:pt idx="190">
                  <c:v>832.0605347686153</c:v>
                </c:pt>
                <c:pt idx="191">
                  <c:v>833.58171875146195</c:v>
                </c:pt>
                <c:pt idx="192">
                  <c:v>835.09987141037402</c:v>
                </c:pt>
                <c:pt idx="193">
                  <c:v>836.61500114713988</c:v>
                </c:pt>
                <c:pt idx="194">
                  <c:v>838.12711632193384</c:v>
                </c:pt>
                <c:pt idx="195">
                  <c:v>839.63622525358812</c:v>
                </c:pt>
                <c:pt idx="196">
                  <c:v>841.14233621986205</c:v>
                </c:pt>
                <c:pt idx="197">
                  <c:v>842.64545745770943</c:v>
                </c:pt>
                <c:pt idx="198">
                  <c:v>844.14559716354347</c:v>
                </c:pt>
                <c:pt idx="199">
                  <c:v>845.64276349349961</c:v>
                </c:pt>
                <c:pt idx="200">
                  <c:v>847.13696456369655</c:v>
                </c:pt>
                <c:pt idx="201">
                  <c:v>861.91651145098501</c:v>
                </c:pt>
                <c:pt idx="202">
                  <c:v>876.40471072443597</c:v>
                </c:pt>
                <c:pt idx="203">
                  <c:v>890.60930823471767</c:v>
                </c:pt>
                <c:pt idx="204">
                  <c:v>904.53768176716221</c:v>
                </c:pt>
                <c:pt idx="205">
                  <c:v>918.19686378102733</c:v>
                </c:pt>
                <c:pt idx="206">
                  <c:v>931.59356239756562</c:v>
                </c:pt>
                <c:pt idx="207">
                  <c:v>944.73418079687815</c:v>
                </c:pt>
                <c:pt idx="208">
                  <c:v>957.62483516666873</c:v>
                </c:pt>
                <c:pt idx="209">
                  <c:v>970.27137133116059</c:v>
                </c:pt>
                <c:pt idx="210">
                  <c:v>982.67938017532163</c:v>
                </c:pt>
                <c:pt idx="211">
                  <c:v>994.85421196794755</c:v>
                </c:pt>
                <c:pt idx="212">
                  <c:v>1006.8009896768708</c:v>
                </c:pt>
                <c:pt idx="213">
                  <c:v>1018.5246213604394</c:v>
                </c:pt>
                <c:pt idx="214">
                  <c:v>1030.0298117112916</c:v>
                </c:pt>
                <c:pt idx="215">
                  <c:v>1041.3210728212212</c:v>
                </c:pt>
                <c:pt idx="216">
                  <c:v>1052.4027342294735</c:v>
                </c:pt>
                <c:pt idx="217">
                  <c:v>1063.2789523110446</c:v>
                </c:pt>
                <c:pt idx="218">
                  <c:v>1073.9537190563881</c:v>
                </c:pt>
                <c:pt idx="219">
                  <c:v>1084.4308702893049</c:v>
                </c:pt>
                <c:pt idx="220">
                  <c:v>1094.7140933656283</c:v>
                </c:pt>
                <c:pt idx="221">
                  <c:v>1104.8069343915781</c:v>
                </c:pt>
                <c:pt idx="222">
                  <c:v>1114.7128049972871</c:v>
                </c:pt>
                <c:pt idx="223">
                  <c:v>1124.4349886979628</c:v>
                </c:pt>
                <c:pt idx="224">
                  <c:v>1133.9766468724047</c:v>
                </c:pt>
                <c:pt idx="225">
                  <c:v>1143.3408243861154</c:v>
                </c:pt>
                <c:pt idx="226">
                  <c:v>1152.5304548839938</c:v>
                </c:pt>
                <c:pt idx="227">
                  <c:v>1161.5483657755656</c:v>
                </c:pt>
                <c:pt idx="228">
                  <c:v>1170.3972829338527</c:v>
                </c:pt>
                <c:pt idx="229">
                  <c:v>1179.0798351273077</c:v>
                </c:pt>
                <c:pt idx="230">
                  <c:v>1187.5985582027042</c:v>
                </c:pt>
                <c:pt idx="231">
                  <c:v>1195.9558990354885</c:v>
                </c:pt>
                <c:pt idx="232">
                  <c:v>1204.1542192628228</c:v>
                </c:pt>
                <c:pt idx="233">
                  <c:v>1212.1957988133934</c:v>
                </c:pt>
                <c:pt idx="234">
                  <c:v>1220.0828392469994</c:v>
                </c:pt>
                <c:pt idx="235">
                  <c:v>1227.8174669159669</c:v>
                </c:pt>
                <c:pt idx="236">
                  <c:v>1235.4017359595475</c:v>
                </c:pt>
                <c:pt idx="237">
                  <c:v>1242.8376311416487</c:v>
                </c:pt>
                <c:pt idx="238">
                  <c:v>1250.1270705414959</c:v>
                </c:pt>
                <c:pt idx="239">
                  <c:v>1257.2719081061441</c:v>
                </c:pt>
                <c:pt idx="240">
                  <c:v>1264.2739360731264</c:v>
                </c:pt>
                <c:pt idx="241">
                  <c:v>1271.1348872709498</c:v>
                </c:pt>
                <c:pt idx="242">
                  <c:v>1277.8564373046145</c:v>
                </c:pt>
                <c:pt idx="243">
                  <c:v>1284.4402066328453</c:v>
                </c:pt>
                <c:pt idx="244">
                  <c:v>1290.8877625432706</c:v>
                </c:pt>
                <c:pt idx="245">
                  <c:v>1297.2006210313668</c:v>
                </c:pt>
                <c:pt idx="246">
                  <c:v>1303.3802485886022</c:v>
                </c:pt>
                <c:pt idx="247">
                  <c:v>1309.4280639048604</c:v>
                </c:pt>
                <c:pt idx="248">
                  <c:v>1315.3454394898936</c:v>
                </c:pt>
                <c:pt idx="249">
                  <c:v>1321.1337032182519</c:v>
                </c:pt>
                <c:pt idx="250">
                  <c:v>1326.7941398018568</c:v>
                </c:pt>
                <c:pt idx="251">
                  <c:v>1332.3279921941271</c:v>
                </c:pt>
                <c:pt idx="252">
                  <c:v>1337.7364629293234</c:v>
                </c:pt>
                <c:pt idx="253">
                  <c:v>1343.020715400557</c:v>
                </c:pt>
                <c:pt idx="254">
                  <c:v>1348.1818750797065</c:v>
                </c:pt>
                <c:pt idx="255">
                  <c:v>1353.2210306822901</c:v>
                </c:pt>
                <c:pt idx="256">
                  <c:v>1358.1392352801724</c:v>
                </c:pt>
                <c:pt idx="257">
                  <c:v>1362.9375073648184</c:v>
                </c:pt>
                <c:pt idx="258">
                  <c:v>1367.6168318636637</c:v>
                </c:pt>
                <c:pt idx="259">
                  <c:v>1372.1781611120282</c:v>
                </c:pt>
                <c:pt idx="260">
                  <c:v>1376.6224157828801</c:v>
                </c:pt>
                <c:pt idx="261">
                  <c:v>1380.9504857766406</c:v>
                </c:pt>
                <c:pt idx="262">
                  <c:v>1385.1632310731152</c:v>
                </c:pt>
                <c:pt idx="263">
                  <c:v>1389.2614825475503</c:v>
                </c:pt>
                <c:pt idx="264">
                  <c:v>1393.2460427527217</c:v>
                </c:pt>
                <c:pt idx="265">
                  <c:v>1397.1176866688968</c:v>
                </c:pt>
                <c:pt idx="266">
                  <c:v>1400.8771624234441</c:v>
                </c:pt>
                <c:pt idx="267">
                  <c:v>1404.5251919818138</c:v>
                </c:pt>
                <c:pt idx="268">
                  <c:v>1408.0624718115669</c:v>
                </c:pt>
                <c:pt idx="269">
                  <c:v>1411.4896735211021</c:v>
                </c:pt>
                <c:pt idx="270">
                  <c:v>1414.8074444747053</c:v>
                </c:pt>
                <c:pt idx="271">
                  <c:v>1418.0164083855402</c:v>
                </c:pt>
                <c:pt idx="272">
                  <c:v>1421.1171658881976</c:v>
                </c:pt>
                <c:pt idx="273">
                  <c:v>1424.1102950924433</c:v>
                </c:pt>
                <c:pt idx="274">
                  <c:v>1426.9963521198263</c:v>
                </c:pt>
                <c:pt idx="275">
                  <c:v>1429.775871624867</c:v>
                </c:pt>
                <c:pt idx="276">
                  <c:v>1432.4493673025966</c:v>
                </c:pt>
                <c:pt idx="277">
                  <c:v>1435.0173323843062</c:v>
                </c:pt>
                <c:pt idx="278">
                  <c:v>1437.480240123466</c:v>
                </c:pt>
                <c:pt idx="279">
                  <c:v>1439.8385442738902</c:v>
                </c:pt>
                <c:pt idx="280">
                  <c:v>1442.0926795623748</c:v>
                </c:pt>
                <c:pt idx="281">
                  <c:v>1444.2430621581937</c:v>
                </c:pt>
                <c:pt idx="282">
                  <c:v>1446.2900901420362</c:v>
                </c:pt>
                <c:pt idx="283">
                  <c:v>1448.2341439771728</c:v>
                </c:pt>
                <c:pt idx="284">
                  <c:v>1450.0755869858763</c:v>
                </c:pt>
                <c:pt idx="285">
                  <c:v>1451.8147658343685</c:v>
                </c:pt>
                <c:pt idx="286">
                  <c:v>1453.4520110298265</c:v>
                </c:pt>
                <c:pt idx="287">
                  <c:v>1454.9876374332403</c:v>
                </c:pt>
                <c:pt idx="288">
                  <c:v>1456.4219447921628</c:v>
                </c:pt>
                <c:pt idx="289">
                  <c:v>1457.7552182976133</c:v>
                </c:pt>
                <c:pt idx="290">
                  <c:v>1458.9877291695527</c:v>
                </c:pt>
                <c:pt idx="291">
                  <c:v>1460.119735275435</c:v>
                </c:pt>
                <c:pt idx="292">
                  <c:v>1461.1514817862901</c:v>
                </c:pt>
                <c:pt idx="293">
                  <c:v>1462.083201874603</c:v>
                </c:pt>
                <c:pt idx="294">
                  <c:v>1462.9151174578424</c:v>
                </c:pt>
                <c:pt idx="295">
                  <c:v>1463.6474399908566</c:v>
                </c:pt>
                <c:pt idx="296">
                  <c:v>1464.2803713094268</c:v>
                </c:pt>
                <c:pt idx="297">
                  <c:v>1464.8141045260568</c:v>
                </c:pt>
                <c:pt idx="298">
                  <c:v>1465.2488249775708</c:v>
                </c:pt>
                <c:pt idx="299">
                  <c:v>1465.5847112223169</c:v>
                </c:pt>
                <c:pt idx="300">
                  <c:v>1465.8219360828161</c:v>
                </c:pt>
                <c:pt idx="301">
                  <c:v>1465.9606677276442</c:v>
                </c:pt>
                <c:pt idx="302">
                  <c:v>1466.0010707843194</c:v>
                </c:pt>
                <c:pt idx="303">
                  <c:v>1465.9433074731642</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3.875</c:v>
                </c:pt>
              </c:numCache>
            </c:numRef>
          </c:xVal>
          <c:yVal>
            <c:numRef>
              <c:f>Trajecto!$C$158</c:f>
              <c:numCache>
                <c:formatCode>0</c:formatCode>
                <c:ptCount val="1"/>
                <c:pt idx="0">
                  <c:v>732.97165373658208</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25.950000000000067</c:v>
                </c:pt>
              </c:numCache>
            </c:numRef>
          </c:xVal>
          <c:yVal>
            <c:numRef>
              <c:f>Trajecto!$C$159</c:f>
              <c:numCache>
                <c:formatCode>0</c:formatCode>
                <c:ptCount val="1"/>
                <c:pt idx="0">
                  <c:v>732.98033386382212</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35.100000000000186</c:v>
                </c:pt>
                <c:pt idx="500">
                  <c:v>35.200000000000188</c:v>
                </c:pt>
                <c:pt idx="501">
                  <c:v>35.300000000000189</c:v>
                </c:pt>
                <c:pt idx="502">
                  <c:v>35.40000000000019</c:v>
                </c:pt>
                <c:pt idx="503">
                  <c:v>35.500000000000192</c:v>
                </c:pt>
                <c:pt idx="504">
                  <c:v>35.600000000000193</c:v>
                </c:pt>
                <c:pt idx="505">
                  <c:v>35.700000000000195</c:v>
                </c:pt>
                <c:pt idx="506">
                  <c:v>35.800000000000196</c:v>
                </c:pt>
                <c:pt idx="507">
                  <c:v>35.900000000000198</c:v>
                </c:pt>
                <c:pt idx="508">
                  <c:v>36.000000000000199</c:v>
                </c:pt>
                <c:pt idx="509">
                  <c:v>36.1000000000002</c:v>
                </c:pt>
                <c:pt idx="510">
                  <c:v>36.200000000000202</c:v>
                </c:pt>
                <c:pt idx="511">
                  <c:v>36.300000000000203</c:v>
                </c:pt>
                <c:pt idx="512">
                  <c:v>36.400000000000205</c:v>
                </c:pt>
                <c:pt idx="513">
                  <c:v>36.500000000000206</c:v>
                </c:pt>
                <c:pt idx="514">
                  <c:v>36.600000000000207</c:v>
                </c:pt>
                <c:pt idx="515">
                  <c:v>36.600100000000211</c:v>
                </c:pt>
                <c:pt idx="516">
                  <c:v>36.600200000000214</c:v>
                </c:pt>
                <c:pt idx="517">
                  <c:v>36.600300000000217</c:v>
                </c:pt>
                <c:pt idx="518">
                  <c:v>36.600400000000221</c:v>
                </c:pt>
                <c:pt idx="519">
                  <c:v>36.600500000000224</c:v>
                </c:pt>
                <c:pt idx="520">
                  <c:v>36.600600000000227</c:v>
                </c:pt>
                <c:pt idx="521">
                  <c:v>36.600700000000231</c:v>
                </c:pt>
                <c:pt idx="522">
                  <c:v>36.600800000000234</c:v>
                </c:pt>
                <c:pt idx="523">
                  <c:v>36.600900000000237</c:v>
                </c:pt>
                <c:pt idx="524">
                  <c:v>36.601000000000241</c:v>
                </c:pt>
                <c:pt idx="525">
                  <c:v>36.601100000000244</c:v>
                </c:pt>
                <c:pt idx="526">
                  <c:v>36.601200000000247</c:v>
                </c:pt>
                <c:pt idx="527">
                  <c:v>36.601300000000251</c:v>
                </c:pt>
                <c:pt idx="528">
                  <c:v>36.601400000000254</c:v>
                </c:pt>
                <c:pt idx="529">
                  <c:v>36.601500000000257</c:v>
                </c:pt>
                <c:pt idx="530">
                  <c:v>36.601600000000261</c:v>
                </c:pt>
                <c:pt idx="531">
                  <c:v>36.601700000000264</c:v>
                </c:pt>
                <c:pt idx="532">
                  <c:v>36.601800000000267</c:v>
                </c:pt>
                <c:pt idx="533">
                  <c:v>36.601900000000271</c:v>
                </c:pt>
                <c:pt idx="534">
                  <c:v>36.602000000000274</c:v>
                </c:pt>
                <c:pt idx="535">
                  <c:v>36.602100000000277</c:v>
                </c:pt>
                <c:pt idx="536">
                  <c:v>36.602200000000281</c:v>
                </c:pt>
                <c:pt idx="537">
                  <c:v>36.602300000000284</c:v>
                </c:pt>
                <c:pt idx="538">
                  <c:v>36.602400000000287</c:v>
                </c:pt>
                <c:pt idx="539">
                  <c:v>36.60250000000029</c:v>
                </c:pt>
                <c:pt idx="540">
                  <c:v>36.602600000000294</c:v>
                </c:pt>
                <c:pt idx="541">
                  <c:v>36.602700000000297</c:v>
                </c:pt>
                <c:pt idx="542">
                  <c:v>36.6028000000003</c:v>
                </c:pt>
                <c:pt idx="543">
                  <c:v>36.602900000000304</c:v>
                </c:pt>
                <c:pt idx="544">
                  <c:v>36.603000000000307</c:v>
                </c:pt>
                <c:pt idx="545">
                  <c:v>36.60310000000031</c:v>
                </c:pt>
                <c:pt idx="546">
                  <c:v>36.603200000000314</c:v>
                </c:pt>
                <c:pt idx="547">
                  <c:v>36.603300000000317</c:v>
                </c:pt>
                <c:pt idx="548">
                  <c:v>36.60340000000032</c:v>
                </c:pt>
                <c:pt idx="549">
                  <c:v>36.603500000000324</c:v>
                </c:pt>
                <c:pt idx="550">
                  <c:v>36.603600000000327</c:v>
                </c:pt>
                <c:pt idx="551">
                  <c:v>36.60370000000033</c:v>
                </c:pt>
                <c:pt idx="552">
                  <c:v>36.603800000000334</c:v>
                </c:pt>
                <c:pt idx="553">
                  <c:v>36.603900000000337</c:v>
                </c:pt>
                <c:pt idx="554">
                  <c:v>36.60400000000034</c:v>
                </c:pt>
                <c:pt idx="555">
                  <c:v>36.604100000000344</c:v>
                </c:pt>
                <c:pt idx="556">
                  <c:v>36.604200000000347</c:v>
                </c:pt>
                <c:pt idx="557">
                  <c:v>36.60430000000035</c:v>
                </c:pt>
                <c:pt idx="558">
                  <c:v>36.604400000000354</c:v>
                </c:pt>
                <c:pt idx="559">
                  <c:v>36.604500000000357</c:v>
                </c:pt>
                <c:pt idx="560">
                  <c:v>36.60460000000036</c:v>
                </c:pt>
                <c:pt idx="561">
                  <c:v>36.604700000000364</c:v>
                </c:pt>
                <c:pt idx="562">
                  <c:v>36.604800000000367</c:v>
                </c:pt>
                <c:pt idx="563">
                  <c:v>36.60490000000037</c:v>
                </c:pt>
                <c:pt idx="564">
                  <c:v>36.605000000000373</c:v>
                </c:pt>
                <c:pt idx="565">
                  <c:v>36.605100000000377</c:v>
                </c:pt>
                <c:pt idx="566">
                  <c:v>36.60520000000038</c:v>
                </c:pt>
                <c:pt idx="567">
                  <c:v>36.605300000000383</c:v>
                </c:pt>
                <c:pt idx="568">
                  <c:v>36.605400000000387</c:v>
                </c:pt>
                <c:pt idx="569">
                  <c:v>36.60550000000039</c:v>
                </c:pt>
                <c:pt idx="570">
                  <c:v>36.605600000000393</c:v>
                </c:pt>
                <c:pt idx="571">
                  <c:v>36.605700000000397</c:v>
                </c:pt>
                <c:pt idx="572">
                  <c:v>36.6058000000004</c:v>
                </c:pt>
                <c:pt idx="573">
                  <c:v>36.605900000000403</c:v>
                </c:pt>
                <c:pt idx="574">
                  <c:v>36.606000000000407</c:v>
                </c:pt>
                <c:pt idx="575">
                  <c:v>36.60610000000041</c:v>
                </c:pt>
                <c:pt idx="576">
                  <c:v>36.606200000000413</c:v>
                </c:pt>
                <c:pt idx="577">
                  <c:v>36.606300000000417</c:v>
                </c:pt>
                <c:pt idx="578">
                  <c:v>36.60640000000042</c:v>
                </c:pt>
                <c:pt idx="579">
                  <c:v>36.606500000000423</c:v>
                </c:pt>
                <c:pt idx="580">
                  <c:v>36.606600000000427</c:v>
                </c:pt>
                <c:pt idx="581">
                  <c:v>36.60670000000043</c:v>
                </c:pt>
                <c:pt idx="582">
                  <c:v>36.606800000000433</c:v>
                </c:pt>
                <c:pt idx="583">
                  <c:v>36.606900000000437</c:v>
                </c:pt>
                <c:pt idx="584">
                  <c:v>36.60700000000044</c:v>
                </c:pt>
                <c:pt idx="585">
                  <c:v>36.607100000000443</c:v>
                </c:pt>
                <c:pt idx="586">
                  <c:v>36.607200000000446</c:v>
                </c:pt>
                <c:pt idx="587">
                  <c:v>36.60730000000045</c:v>
                </c:pt>
                <c:pt idx="588">
                  <c:v>36.607400000000453</c:v>
                </c:pt>
                <c:pt idx="589">
                  <c:v>36.607500000000456</c:v>
                </c:pt>
                <c:pt idx="590">
                  <c:v>36.60760000000046</c:v>
                </c:pt>
                <c:pt idx="591">
                  <c:v>36.607700000000463</c:v>
                </c:pt>
                <c:pt idx="592">
                  <c:v>36.607800000000466</c:v>
                </c:pt>
                <c:pt idx="593">
                  <c:v>36.60790000000047</c:v>
                </c:pt>
                <c:pt idx="594">
                  <c:v>36.608000000000473</c:v>
                </c:pt>
                <c:pt idx="595">
                  <c:v>36.608100000000476</c:v>
                </c:pt>
                <c:pt idx="596">
                  <c:v>36.60820000000048</c:v>
                </c:pt>
                <c:pt idx="597">
                  <c:v>36.608300000000483</c:v>
                </c:pt>
                <c:pt idx="598">
                  <c:v>36.608400000000486</c:v>
                </c:pt>
                <c:pt idx="599">
                  <c:v>36.60850000000049</c:v>
                </c:pt>
                <c:pt idx="600">
                  <c:v>36.608600000000493</c:v>
                </c:pt>
                <c:pt idx="601">
                  <c:v>36.608700000000496</c:v>
                </c:pt>
                <c:pt idx="602">
                  <c:v>36.6088000000005</c:v>
                </c:pt>
                <c:pt idx="603">
                  <c:v>36.608900000000503</c:v>
                </c:pt>
                <c:pt idx="604">
                  <c:v>36.609000000000506</c:v>
                </c:pt>
                <c:pt idx="605">
                  <c:v>36.60910000000051</c:v>
                </c:pt>
                <c:pt idx="606">
                  <c:v>36.609200000000513</c:v>
                </c:pt>
                <c:pt idx="607">
                  <c:v>36.609300000000516</c:v>
                </c:pt>
                <c:pt idx="608">
                  <c:v>36.60940000000052</c:v>
                </c:pt>
                <c:pt idx="609">
                  <c:v>36.609500000000523</c:v>
                </c:pt>
                <c:pt idx="610">
                  <c:v>36.609600000000526</c:v>
                </c:pt>
                <c:pt idx="611">
                  <c:v>36.609700000000529</c:v>
                </c:pt>
                <c:pt idx="612">
                  <c:v>36.609800000000533</c:v>
                </c:pt>
                <c:pt idx="613">
                  <c:v>36.609900000000536</c:v>
                </c:pt>
                <c:pt idx="614">
                  <c:v>36.610000000000539</c:v>
                </c:pt>
                <c:pt idx="615">
                  <c:v>36.610100000000543</c:v>
                </c:pt>
                <c:pt idx="616">
                  <c:v>36.610200000000546</c:v>
                </c:pt>
                <c:pt idx="617">
                  <c:v>36.610300000000549</c:v>
                </c:pt>
                <c:pt idx="618">
                  <c:v>36.610400000000553</c:v>
                </c:pt>
                <c:pt idx="619">
                  <c:v>36.610500000000556</c:v>
                </c:pt>
                <c:pt idx="620">
                  <c:v>36.610600000000559</c:v>
                </c:pt>
                <c:pt idx="621">
                  <c:v>36.610700000000563</c:v>
                </c:pt>
                <c:pt idx="622">
                  <c:v>36.610800000000566</c:v>
                </c:pt>
                <c:pt idx="623">
                  <c:v>36.610900000000569</c:v>
                </c:pt>
                <c:pt idx="624">
                  <c:v>36.611000000000573</c:v>
                </c:pt>
                <c:pt idx="625">
                  <c:v>36.611100000000576</c:v>
                </c:pt>
                <c:pt idx="626">
                  <c:v>36.611200000000579</c:v>
                </c:pt>
                <c:pt idx="627">
                  <c:v>36.611300000000583</c:v>
                </c:pt>
                <c:pt idx="628">
                  <c:v>36.611400000000586</c:v>
                </c:pt>
                <c:pt idx="629">
                  <c:v>36.611500000000589</c:v>
                </c:pt>
                <c:pt idx="630">
                  <c:v>36.611600000000593</c:v>
                </c:pt>
                <c:pt idx="631">
                  <c:v>36.611700000000596</c:v>
                </c:pt>
                <c:pt idx="632">
                  <c:v>36.611800000000599</c:v>
                </c:pt>
                <c:pt idx="633">
                  <c:v>36.611900000000603</c:v>
                </c:pt>
                <c:pt idx="634">
                  <c:v>36.612000000000606</c:v>
                </c:pt>
                <c:pt idx="635">
                  <c:v>36.612100000000609</c:v>
                </c:pt>
                <c:pt idx="636">
                  <c:v>36.612200000000612</c:v>
                </c:pt>
                <c:pt idx="637">
                  <c:v>36.612300000000616</c:v>
                </c:pt>
                <c:pt idx="638">
                  <c:v>36.612400000000619</c:v>
                </c:pt>
                <c:pt idx="639">
                  <c:v>36.612500000000622</c:v>
                </c:pt>
                <c:pt idx="640">
                  <c:v>36.612600000000626</c:v>
                </c:pt>
                <c:pt idx="641">
                  <c:v>36.612700000000629</c:v>
                </c:pt>
                <c:pt idx="642">
                  <c:v>36.612800000000632</c:v>
                </c:pt>
                <c:pt idx="643">
                  <c:v>36.612900000000636</c:v>
                </c:pt>
                <c:pt idx="644">
                  <c:v>36.613000000000639</c:v>
                </c:pt>
                <c:pt idx="645">
                  <c:v>36.613100000000642</c:v>
                </c:pt>
                <c:pt idx="646">
                  <c:v>36.613200000000646</c:v>
                </c:pt>
                <c:pt idx="647">
                  <c:v>36.613300000000649</c:v>
                </c:pt>
                <c:pt idx="648">
                  <c:v>36.613400000000652</c:v>
                </c:pt>
                <c:pt idx="649">
                  <c:v>36.613500000000656</c:v>
                </c:pt>
                <c:pt idx="650">
                  <c:v>36.613600000000659</c:v>
                </c:pt>
                <c:pt idx="651">
                  <c:v>36.613700000000662</c:v>
                </c:pt>
                <c:pt idx="652">
                  <c:v>36.613800000000666</c:v>
                </c:pt>
                <c:pt idx="653">
                  <c:v>36.613900000000669</c:v>
                </c:pt>
                <c:pt idx="654">
                  <c:v>36.614000000000672</c:v>
                </c:pt>
                <c:pt idx="655">
                  <c:v>36.614100000000676</c:v>
                </c:pt>
                <c:pt idx="656">
                  <c:v>36.614200000000679</c:v>
                </c:pt>
                <c:pt idx="657">
                  <c:v>36.614300000000682</c:v>
                </c:pt>
                <c:pt idx="658">
                  <c:v>36.614400000000686</c:v>
                </c:pt>
                <c:pt idx="659">
                  <c:v>36.614500000000689</c:v>
                </c:pt>
                <c:pt idx="660">
                  <c:v>36.614600000000692</c:v>
                </c:pt>
                <c:pt idx="661">
                  <c:v>36.614700000000695</c:v>
                </c:pt>
                <c:pt idx="662">
                  <c:v>36.614800000000699</c:v>
                </c:pt>
                <c:pt idx="663">
                  <c:v>36.614900000000702</c:v>
                </c:pt>
                <c:pt idx="664">
                  <c:v>36.615000000000705</c:v>
                </c:pt>
                <c:pt idx="665">
                  <c:v>36.615100000000709</c:v>
                </c:pt>
                <c:pt idx="666">
                  <c:v>36.615200000000712</c:v>
                </c:pt>
                <c:pt idx="667">
                  <c:v>36.615300000000715</c:v>
                </c:pt>
                <c:pt idx="668">
                  <c:v>36.615400000000719</c:v>
                </c:pt>
                <c:pt idx="669">
                  <c:v>36.615500000000722</c:v>
                </c:pt>
                <c:pt idx="670">
                  <c:v>36.615600000000725</c:v>
                </c:pt>
                <c:pt idx="671">
                  <c:v>36.615700000000729</c:v>
                </c:pt>
                <c:pt idx="672">
                  <c:v>36.615800000000732</c:v>
                </c:pt>
                <c:pt idx="673">
                  <c:v>36.615900000000735</c:v>
                </c:pt>
                <c:pt idx="674">
                  <c:v>36.616000000000739</c:v>
                </c:pt>
                <c:pt idx="675">
                  <c:v>36.616100000000742</c:v>
                </c:pt>
                <c:pt idx="676">
                  <c:v>36.616200000000745</c:v>
                </c:pt>
                <c:pt idx="677">
                  <c:v>36.616300000000749</c:v>
                </c:pt>
                <c:pt idx="678">
                  <c:v>36.616400000000752</c:v>
                </c:pt>
                <c:pt idx="679">
                  <c:v>36.616500000000755</c:v>
                </c:pt>
                <c:pt idx="680">
                  <c:v>36.616600000000759</c:v>
                </c:pt>
                <c:pt idx="681">
                  <c:v>36.616700000000762</c:v>
                </c:pt>
                <c:pt idx="682">
                  <c:v>36.616800000000765</c:v>
                </c:pt>
                <c:pt idx="683">
                  <c:v>36.616900000000769</c:v>
                </c:pt>
                <c:pt idx="684">
                  <c:v>36.617000000000772</c:v>
                </c:pt>
                <c:pt idx="685">
                  <c:v>36.617100000000775</c:v>
                </c:pt>
                <c:pt idx="686">
                  <c:v>36.617200000000778</c:v>
                </c:pt>
                <c:pt idx="687">
                  <c:v>36.617300000000782</c:v>
                </c:pt>
                <c:pt idx="688">
                  <c:v>36.617400000000785</c:v>
                </c:pt>
                <c:pt idx="689">
                  <c:v>36.617500000000788</c:v>
                </c:pt>
                <c:pt idx="690">
                  <c:v>36.617600000000792</c:v>
                </c:pt>
                <c:pt idx="691">
                  <c:v>36.617700000000795</c:v>
                </c:pt>
                <c:pt idx="692">
                  <c:v>36.617800000000798</c:v>
                </c:pt>
                <c:pt idx="693">
                  <c:v>36.617900000000802</c:v>
                </c:pt>
                <c:pt idx="694">
                  <c:v>36.618000000000805</c:v>
                </c:pt>
                <c:pt idx="695">
                  <c:v>36.618100000000808</c:v>
                </c:pt>
                <c:pt idx="696">
                  <c:v>36.618200000000812</c:v>
                </c:pt>
                <c:pt idx="697">
                  <c:v>36.618300000000815</c:v>
                </c:pt>
                <c:pt idx="698">
                  <c:v>36.618400000000818</c:v>
                </c:pt>
                <c:pt idx="699">
                  <c:v>36.618500000000822</c:v>
                </c:pt>
                <c:pt idx="700">
                  <c:v>36.618600000000825</c:v>
                </c:pt>
                <c:pt idx="701">
                  <c:v>36.618700000000828</c:v>
                </c:pt>
                <c:pt idx="702">
                  <c:v>36.618800000000832</c:v>
                </c:pt>
                <c:pt idx="703">
                  <c:v>36.618900000000835</c:v>
                </c:pt>
                <c:pt idx="704">
                  <c:v>36.619000000000838</c:v>
                </c:pt>
                <c:pt idx="705">
                  <c:v>36.619100000000842</c:v>
                </c:pt>
                <c:pt idx="706">
                  <c:v>36.619200000000845</c:v>
                </c:pt>
                <c:pt idx="707">
                  <c:v>36.619300000000848</c:v>
                </c:pt>
                <c:pt idx="708">
                  <c:v>36.619400000000851</c:v>
                </c:pt>
                <c:pt idx="709">
                  <c:v>36.619500000000855</c:v>
                </c:pt>
                <c:pt idx="710">
                  <c:v>36.619600000000858</c:v>
                </c:pt>
                <c:pt idx="711">
                  <c:v>36.619700000000861</c:v>
                </c:pt>
                <c:pt idx="712">
                  <c:v>36.619800000000865</c:v>
                </c:pt>
                <c:pt idx="713">
                  <c:v>36.619900000000868</c:v>
                </c:pt>
                <c:pt idx="714">
                  <c:v>36.620000000000871</c:v>
                </c:pt>
                <c:pt idx="715">
                  <c:v>36.620100000000875</c:v>
                </c:pt>
                <c:pt idx="716">
                  <c:v>36.620200000000878</c:v>
                </c:pt>
                <c:pt idx="717">
                  <c:v>36.620300000000881</c:v>
                </c:pt>
                <c:pt idx="718">
                  <c:v>36.620400000000885</c:v>
                </c:pt>
                <c:pt idx="719">
                  <c:v>36.620500000000888</c:v>
                </c:pt>
                <c:pt idx="720">
                  <c:v>36.620600000000891</c:v>
                </c:pt>
                <c:pt idx="721">
                  <c:v>36.620700000000895</c:v>
                </c:pt>
                <c:pt idx="722">
                  <c:v>36.620800000000898</c:v>
                </c:pt>
                <c:pt idx="723">
                  <c:v>36.620900000000901</c:v>
                </c:pt>
                <c:pt idx="724">
                  <c:v>36.621000000000905</c:v>
                </c:pt>
                <c:pt idx="725">
                  <c:v>36.621100000000908</c:v>
                </c:pt>
                <c:pt idx="726">
                  <c:v>36.621200000000911</c:v>
                </c:pt>
                <c:pt idx="727">
                  <c:v>36.621300000000915</c:v>
                </c:pt>
                <c:pt idx="728">
                  <c:v>36.621400000000918</c:v>
                </c:pt>
                <c:pt idx="729">
                  <c:v>36.621500000000921</c:v>
                </c:pt>
                <c:pt idx="730">
                  <c:v>36.621600000000925</c:v>
                </c:pt>
                <c:pt idx="731">
                  <c:v>36.621700000000928</c:v>
                </c:pt>
                <c:pt idx="732">
                  <c:v>36.621800000000931</c:v>
                </c:pt>
                <c:pt idx="733">
                  <c:v>36.621900000000934</c:v>
                </c:pt>
                <c:pt idx="734">
                  <c:v>36.622000000000938</c:v>
                </c:pt>
                <c:pt idx="735">
                  <c:v>36.622100000000941</c:v>
                </c:pt>
                <c:pt idx="736">
                  <c:v>36.622200000000944</c:v>
                </c:pt>
                <c:pt idx="737">
                  <c:v>36.622300000000948</c:v>
                </c:pt>
                <c:pt idx="738">
                  <c:v>36.622400000000951</c:v>
                </c:pt>
                <c:pt idx="739">
                  <c:v>36.622500000000954</c:v>
                </c:pt>
                <c:pt idx="740">
                  <c:v>36.622600000000958</c:v>
                </c:pt>
                <c:pt idx="741">
                  <c:v>36.622700000000961</c:v>
                </c:pt>
                <c:pt idx="742">
                  <c:v>36.622800000000964</c:v>
                </c:pt>
                <c:pt idx="743">
                  <c:v>36.622900000000968</c:v>
                </c:pt>
                <c:pt idx="744">
                  <c:v>36.623000000000971</c:v>
                </c:pt>
                <c:pt idx="745">
                  <c:v>36.623100000000974</c:v>
                </c:pt>
                <c:pt idx="746">
                  <c:v>36.623200000000978</c:v>
                </c:pt>
                <c:pt idx="747">
                  <c:v>36.623300000000981</c:v>
                </c:pt>
                <c:pt idx="748">
                  <c:v>36.623400000000984</c:v>
                </c:pt>
                <c:pt idx="749">
                  <c:v>36.623500000000988</c:v>
                </c:pt>
                <c:pt idx="750">
                  <c:v>36.623600000000991</c:v>
                </c:pt>
                <c:pt idx="751">
                  <c:v>36.623700000000994</c:v>
                </c:pt>
                <c:pt idx="752">
                  <c:v>36.623800000000998</c:v>
                </c:pt>
                <c:pt idx="753">
                  <c:v>36.623900000001001</c:v>
                </c:pt>
                <c:pt idx="754">
                  <c:v>36.624000000001004</c:v>
                </c:pt>
                <c:pt idx="755">
                  <c:v>36.624100000001008</c:v>
                </c:pt>
                <c:pt idx="756">
                  <c:v>36.624200000001011</c:v>
                </c:pt>
                <c:pt idx="757">
                  <c:v>36.624300000001014</c:v>
                </c:pt>
                <c:pt idx="758">
                  <c:v>36.624400000001017</c:v>
                </c:pt>
                <c:pt idx="759">
                  <c:v>36.624500000001021</c:v>
                </c:pt>
                <c:pt idx="760">
                  <c:v>36.624600000001024</c:v>
                </c:pt>
                <c:pt idx="761">
                  <c:v>36.624700000001027</c:v>
                </c:pt>
                <c:pt idx="762">
                  <c:v>36.624800000001031</c:v>
                </c:pt>
                <c:pt idx="763">
                  <c:v>36.624900000001034</c:v>
                </c:pt>
                <c:pt idx="764">
                  <c:v>36.625000000001037</c:v>
                </c:pt>
                <c:pt idx="765">
                  <c:v>36.625100000001041</c:v>
                </c:pt>
                <c:pt idx="766">
                  <c:v>36.625200000001044</c:v>
                </c:pt>
                <c:pt idx="767">
                  <c:v>36.625300000001047</c:v>
                </c:pt>
                <c:pt idx="768">
                  <c:v>36.625400000001051</c:v>
                </c:pt>
                <c:pt idx="769">
                  <c:v>36.625500000001054</c:v>
                </c:pt>
                <c:pt idx="770">
                  <c:v>36.625600000001057</c:v>
                </c:pt>
                <c:pt idx="771">
                  <c:v>36.625700000001061</c:v>
                </c:pt>
                <c:pt idx="772">
                  <c:v>36.625800000001064</c:v>
                </c:pt>
                <c:pt idx="773">
                  <c:v>36.625900000001067</c:v>
                </c:pt>
                <c:pt idx="774">
                  <c:v>36.626000000001071</c:v>
                </c:pt>
                <c:pt idx="775">
                  <c:v>36.626100000001074</c:v>
                </c:pt>
                <c:pt idx="776">
                  <c:v>36.626200000001077</c:v>
                </c:pt>
                <c:pt idx="777">
                  <c:v>36.626300000001081</c:v>
                </c:pt>
                <c:pt idx="778">
                  <c:v>36.626400000001084</c:v>
                </c:pt>
                <c:pt idx="779">
                  <c:v>36.626500000001087</c:v>
                </c:pt>
                <c:pt idx="780">
                  <c:v>36.626600000001091</c:v>
                </c:pt>
                <c:pt idx="781">
                  <c:v>36.626700000001094</c:v>
                </c:pt>
                <c:pt idx="782">
                  <c:v>36.626800000001097</c:v>
                </c:pt>
                <c:pt idx="783">
                  <c:v>36.6269000000011</c:v>
                </c:pt>
                <c:pt idx="784">
                  <c:v>36.627000000001104</c:v>
                </c:pt>
                <c:pt idx="785">
                  <c:v>36.627100000001107</c:v>
                </c:pt>
                <c:pt idx="786">
                  <c:v>36.62720000000111</c:v>
                </c:pt>
                <c:pt idx="787">
                  <c:v>36.627300000001114</c:v>
                </c:pt>
                <c:pt idx="788">
                  <c:v>36.627400000001117</c:v>
                </c:pt>
                <c:pt idx="789">
                  <c:v>36.62750000000112</c:v>
                </c:pt>
                <c:pt idx="790">
                  <c:v>36.627600000001124</c:v>
                </c:pt>
                <c:pt idx="791">
                  <c:v>36.627700000001127</c:v>
                </c:pt>
                <c:pt idx="792">
                  <c:v>36.62780000000113</c:v>
                </c:pt>
                <c:pt idx="793">
                  <c:v>36.627900000001134</c:v>
                </c:pt>
                <c:pt idx="794">
                  <c:v>36.628000000001137</c:v>
                </c:pt>
                <c:pt idx="795">
                  <c:v>36.62810000000114</c:v>
                </c:pt>
                <c:pt idx="796">
                  <c:v>36.628200000001144</c:v>
                </c:pt>
                <c:pt idx="797">
                  <c:v>36.628300000001147</c:v>
                </c:pt>
                <c:pt idx="798">
                  <c:v>36.62840000000115</c:v>
                </c:pt>
                <c:pt idx="799">
                  <c:v>36.628500000001154</c:v>
                </c:pt>
                <c:pt idx="800">
                  <c:v>36.628600000001157</c:v>
                </c:pt>
                <c:pt idx="801">
                  <c:v>36.62870000000116</c:v>
                </c:pt>
                <c:pt idx="802">
                  <c:v>36.628800000001164</c:v>
                </c:pt>
                <c:pt idx="803">
                  <c:v>36.628900000001167</c:v>
                </c:pt>
                <c:pt idx="804">
                  <c:v>36.62900000000117</c:v>
                </c:pt>
                <c:pt idx="805">
                  <c:v>36.629100000001173</c:v>
                </c:pt>
                <c:pt idx="806">
                  <c:v>36.629200000001177</c:v>
                </c:pt>
                <c:pt idx="807">
                  <c:v>36.62930000000118</c:v>
                </c:pt>
                <c:pt idx="808">
                  <c:v>36.629400000001183</c:v>
                </c:pt>
                <c:pt idx="809">
                  <c:v>36.629500000001187</c:v>
                </c:pt>
                <c:pt idx="810">
                  <c:v>36.62960000000119</c:v>
                </c:pt>
                <c:pt idx="811">
                  <c:v>36.629700000001193</c:v>
                </c:pt>
                <c:pt idx="812">
                  <c:v>36.629800000001197</c:v>
                </c:pt>
                <c:pt idx="813">
                  <c:v>36.6299000000012</c:v>
                </c:pt>
                <c:pt idx="814">
                  <c:v>36.630000000001203</c:v>
                </c:pt>
                <c:pt idx="815">
                  <c:v>36.630100000001207</c:v>
                </c:pt>
                <c:pt idx="816">
                  <c:v>36.63020000000121</c:v>
                </c:pt>
                <c:pt idx="817">
                  <c:v>36.630300000001213</c:v>
                </c:pt>
                <c:pt idx="818">
                  <c:v>36.630400000001217</c:v>
                </c:pt>
                <c:pt idx="819">
                  <c:v>36.63050000000122</c:v>
                </c:pt>
                <c:pt idx="820">
                  <c:v>36.630600000001223</c:v>
                </c:pt>
                <c:pt idx="821">
                  <c:v>36.630700000001227</c:v>
                </c:pt>
                <c:pt idx="822">
                  <c:v>36.63080000000123</c:v>
                </c:pt>
                <c:pt idx="823">
                  <c:v>36.630900000001233</c:v>
                </c:pt>
                <c:pt idx="824">
                  <c:v>36.631000000001237</c:v>
                </c:pt>
                <c:pt idx="825">
                  <c:v>36.63110000000124</c:v>
                </c:pt>
                <c:pt idx="826">
                  <c:v>36.631200000001243</c:v>
                </c:pt>
                <c:pt idx="827">
                  <c:v>36.631300000001247</c:v>
                </c:pt>
                <c:pt idx="828">
                  <c:v>36.63140000000125</c:v>
                </c:pt>
                <c:pt idx="829">
                  <c:v>36.631500000001253</c:v>
                </c:pt>
                <c:pt idx="830">
                  <c:v>36.631600000001256</c:v>
                </c:pt>
                <c:pt idx="831">
                  <c:v>36.63170000000126</c:v>
                </c:pt>
                <c:pt idx="832">
                  <c:v>36.631800000001263</c:v>
                </c:pt>
                <c:pt idx="833">
                  <c:v>36.631900000001266</c:v>
                </c:pt>
                <c:pt idx="834">
                  <c:v>36.63200000000127</c:v>
                </c:pt>
                <c:pt idx="835">
                  <c:v>36.632100000001273</c:v>
                </c:pt>
                <c:pt idx="836">
                  <c:v>36.632200000001276</c:v>
                </c:pt>
                <c:pt idx="837">
                  <c:v>36.63230000000128</c:v>
                </c:pt>
                <c:pt idx="838">
                  <c:v>36.632400000001283</c:v>
                </c:pt>
                <c:pt idx="839">
                  <c:v>36.632500000001286</c:v>
                </c:pt>
                <c:pt idx="840">
                  <c:v>36.63260000000129</c:v>
                </c:pt>
                <c:pt idx="841">
                  <c:v>36.632700000001293</c:v>
                </c:pt>
                <c:pt idx="842">
                  <c:v>36.632800000001296</c:v>
                </c:pt>
                <c:pt idx="843">
                  <c:v>36.6329000000013</c:v>
                </c:pt>
                <c:pt idx="844">
                  <c:v>36.633000000001303</c:v>
                </c:pt>
                <c:pt idx="845">
                  <c:v>36.633100000001306</c:v>
                </c:pt>
                <c:pt idx="846">
                  <c:v>36.63320000000131</c:v>
                </c:pt>
                <c:pt idx="847">
                  <c:v>36.633300000001313</c:v>
                </c:pt>
                <c:pt idx="848">
                  <c:v>36.633400000001316</c:v>
                </c:pt>
                <c:pt idx="849">
                  <c:v>36.63350000000132</c:v>
                </c:pt>
                <c:pt idx="850">
                  <c:v>36.633600000001323</c:v>
                </c:pt>
                <c:pt idx="851">
                  <c:v>36.633700000001326</c:v>
                </c:pt>
                <c:pt idx="852">
                  <c:v>36.63380000000133</c:v>
                </c:pt>
                <c:pt idx="853">
                  <c:v>36.633900000001333</c:v>
                </c:pt>
                <c:pt idx="854">
                  <c:v>36.634000000001336</c:v>
                </c:pt>
                <c:pt idx="855">
                  <c:v>36.634100000001339</c:v>
                </c:pt>
                <c:pt idx="856">
                  <c:v>36.634200000001343</c:v>
                </c:pt>
                <c:pt idx="857">
                  <c:v>36.634300000001346</c:v>
                </c:pt>
                <c:pt idx="858">
                  <c:v>36.634400000001349</c:v>
                </c:pt>
                <c:pt idx="859">
                  <c:v>36.634500000001353</c:v>
                </c:pt>
                <c:pt idx="860">
                  <c:v>36.634600000001356</c:v>
                </c:pt>
                <c:pt idx="861">
                  <c:v>36.634700000001359</c:v>
                </c:pt>
                <c:pt idx="862">
                  <c:v>36.634800000001363</c:v>
                </c:pt>
                <c:pt idx="863">
                  <c:v>36.634900000001366</c:v>
                </c:pt>
                <c:pt idx="864">
                  <c:v>36.635000000001369</c:v>
                </c:pt>
                <c:pt idx="865">
                  <c:v>36.635100000001373</c:v>
                </c:pt>
                <c:pt idx="866">
                  <c:v>36.635200000001376</c:v>
                </c:pt>
                <c:pt idx="867">
                  <c:v>36.635300000001379</c:v>
                </c:pt>
                <c:pt idx="868">
                  <c:v>36.635400000001383</c:v>
                </c:pt>
                <c:pt idx="869">
                  <c:v>36.635500000001386</c:v>
                </c:pt>
                <c:pt idx="870">
                  <c:v>36.635600000001389</c:v>
                </c:pt>
                <c:pt idx="871">
                  <c:v>36.635700000001393</c:v>
                </c:pt>
                <c:pt idx="872">
                  <c:v>36.635800000001396</c:v>
                </c:pt>
                <c:pt idx="873">
                  <c:v>36.635900000001399</c:v>
                </c:pt>
                <c:pt idx="874">
                  <c:v>36.636000000001403</c:v>
                </c:pt>
                <c:pt idx="875">
                  <c:v>36.636100000001406</c:v>
                </c:pt>
                <c:pt idx="876">
                  <c:v>36.636200000001409</c:v>
                </c:pt>
                <c:pt idx="877">
                  <c:v>36.636300000001413</c:v>
                </c:pt>
                <c:pt idx="878">
                  <c:v>36.636400000001416</c:v>
                </c:pt>
                <c:pt idx="879">
                  <c:v>36.636500000001419</c:v>
                </c:pt>
                <c:pt idx="880">
                  <c:v>36.636600000001422</c:v>
                </c:pt>
                <c:pt idx="881">
                  <c:v>36.636700000001426</c:v>
                </c:pt>
                <c:pt idx="882">
                  <c:v>36.636800000001429</c:v>
                </c:pt>
                <c:pt idx="883">
                  <c:v>36.636900000001432</c:v>
                </c:pt>
                <c:pt idx="884">
                  <c:v>36.637000000001436</c:v>
                </c:pt>
                <c:pt idx="885">
                  <c:v>36.637100000001439</c:v>
                </c:pt>
                <c:pt idx="886">
                  <c:v>36.637200000001442</c:v>
                </c:pt>
                <c:pt idx="887">
                  <c:v>36.637300000001446</c:v>
                </c:pt>
                <c:pt idx="888">
                  <c:v>36.637400000001449</c:v>
                </c:pt>
                <c:pt idx="889">
                  <c:v>36.637500000001452</c:v>
                </c:pt>
                <c:pt idx="890">
                  <c:v>36.637600000001456</c:v>
                </c:pt>
                <c:pt idx="891">
                  <c:v>36.637700000001459</c:v>
                </c:pt>
                <c:pt idx="892">
                  <c:v>36.637800000001462</c:v>
                </c:pt>
                <c:pt idx="893">
                  <c:v>36.637900000001466</c:v>
                </c:pt>
                <c:pt idx="894">
                  <c:v>36.638000000001469</c:v>
                </c:pt>
                <c:pt idx="895">
                  <c:v>36.638100000001472</c:v>
                </c:pt>
                <c:pt idx="896">
                  <c:v>36.638200000001476</c:v>
                </c:pt>
                <c:pt idx="897">
                  <c:v>36.638300000001479</c:v>
                </c:pt>
                <c:pt idx="898">
                  <c:v>36.638400000001482</c:v>
                </c:pt>
                <c:pt idx="899">
                  <c:v>36.638500000001486</c:v>
                </c:pt>
                <c:pt idx="900">
                  <c:v>36.638600000001489</c:v>
                </c:pt>
                <c:pt idx="901">
                  <c:v>36.638700000001492</c:v>
                </c:pt>
                <c:pt idx="902">
                  <c:v>36.638800000001496</c:v>
                </c:pt>
                <c:pt idx="903">
                  <c:v>36.638900000001499</c:v>
                </c:pt>
                <c:pt idx="904">
                  <c:v>36.639000000001502</c:v>
                </c:pt>
                <c:pt idx="905">
                  <c:v>36.639100000001505</c:v>
                </c:pt>
                <c:pt idx="906">
                  <c:v>36.639200000001509</c:v>
                </c:pt>
                <c:pt idx="907">
                  <c:v>36.639300000001512</c:v>
                </c:pt>
                <c:pt idx="908">
                  <c:v>36.639400000001515</c:v>
                </c:pt>
                <c:pt idx="909">
                  <c:v>36.639500000001519</c:v>
                </c:pt>
                <c:pt idx="910">
                  <c:v>36.639600000001522</c:v>
                </c:pt>
                <c:pt idx="911">
                  <c:v>36.639700000001525</c:v>
                </c:pt>
                <c:pt idx="912">
                  <c:v>36.639800000001529</c:v>
                </c:pt>
                <c:pt idx="913">
                  <c:v>36.639900000001532</c:v>
                </c:pt>
                <c:pt idx="914">
                  <c:v>36.640000000001535</c:v>
                </c:pt>
                <c:pt idx="915">
                  <c:v>36.640100000001539</c:v>
                </c:pt>
                <c:pt idx="916">
                  <c:v>36.640200000001542</c:v>
                </c:pt>
                <c:pt idx="917">
                  <c:v>36.640300000001545</c:v>
                </c:pt>
                <c:pt idx="918">
                  <c:v>36.640400000001549</c:v>
                </c:pt>
                <c:pt idx="919">
                  <c:v>36.640500000001552</c:v>
                </c:pt>
                <c:pt idx="920">
                  <c:v>36.640600000001555</c:v>
                </c:pt>
                <c:pt idx="921">
                  <c:v>36.640700000001559</c:v>
                </c:pt>
                <c:pt idx="922">
                  <c:v>36.640800000001562</c:v>
                </c:pt>
                <c:pt idx="923">
                  <c:v>36.640900000001565</c:v>
                </c:pt>
                <c:pt idx="924">
                  <c:v>36.641000000001569</c:v>
                </c:pt>
                <c:pt idx="925">
                  <c:v>36.641100000001572</c:v>
                </c:pt>
                <c:pt idx="926">
                  <c:v>36.641200000001575</c:v>
                </c:pt>
                <c:pt idx="927">
                  <c:v>36.641300000001578</c:v>
                </c:pt>
                <c:pt idx="928">
                  <c:v>36.641400000001582</c:v>
                </c:pt>
                <c:pt idx="929">
                  <c:v>36.641500000001585</c:v>
                </c:pt>
                <c:pt idx="930">
                  <c:v>36.641600000001588</c:v>
                </c:pt>
                <c:pt idx="931">
                  <c:v>36.641700000001592</c:v>
                </c:pt>
                <c:pt idx="932">
                  <c:v>36.641800000001595</c:v>
                </c:pt>
                <c:pt idx="933">
                  <c:v>36.641900000001598</c:v>
                </c:pt>
                <c:pt idx="934">
                  <c:v>36.642000000001602</c:v>
                </c:pt>
                <c:pt idx="935">
                  <c:v>36.642100000001605</c:v>
                </c:pt>
                <c:pt idx="936">
                  <c:v>36.642200000001608</c:v>
                </c:pt>
                <c:pt idx="937">
                  <c:v>36.642300000001612</c:v>
                </c:pt>
                <c:pt idx="938">
                  <c:v>36.642400000001615</c:v>
                </c:pt>
                <c:pt idx="939">
                  <c:v>36.642500000001618</c:v>
                </c:pt>
                <c:pt idx="940">
                  <c:v>36.642600000001622</c:v>
                </c:pt>
                <c:pt idx="941">
                  <c:v>36.642700000001625</c:v>
                </c:pt>
                <c:pt idx="942">
                  <c:v>36.642800000001628</c:v>
                </c:pt>
                <c:pt idx="943">
                  <c:v>36.642900000001632</c:v>
                </c:pt>
                <c:pt idx="944">
                  <c:v>36.643000000001635</c:v>
                </c:pt>
                <c:pt idx="945">
                  <c:v>36.643100000001638</c:v>
                </c:pt>
                <c:pt idx="946">
                  <c:v>36.643200000001642</c:v>
                </c:pt>
                <c:pt idx="947">
                  <c:v>36.643300000001645</c:v>
                </c:pt>
                <c:pt idx="948">
                  <c:v>36.643400000001648</c:v>
                </c:pt>
                <c:pt idx="949">
                  <c:v>36.643500000001652</c:v>
                </c:pt>
                <c:pt idx="950">
                  <c:v>36.643600000001655</c:v>
                </c:pt>
                <c:pt idx="951">
                  <c:v>36.643700000001658</c:v>
                </c:pt>
                <c:pt idx="952">
                  <c:v>36.643800000001661</c:v>
                </c:pt>
                <c:pt idx="953">
                  <c:v>36.643900000001665</c:v>
                </c:pt>
                <c:pt idx="954">
                  <c:v>36.644000000001668</c:v>
                </c:pt>
                <c:pt idx="955">
                  <c:v>36.644100000001671</c:v>
                </c:pt>
                <c:pt idx="956">
                  <c:v>36.644200000001675</c:v>
                </c:pt>
                <c:pt idx="957">
                  <c:v>36.644300000001678</c:v>
                </c:pt>
                <c:pt idx="958">
                  <c:v>36.644400000001681</c:v>
                </c:pt>
                <c:pt idx="959">
                  <c:v>36.644500000001685</c:v>
                </c:pt>
                <c:pt idx="960">
                  <c:v>36.644600000001688</c:v>
                </c:pt>
                <c:pt idx="961">
                  <c:v>36.644700000001691</c:v>
                </c:pt>
                <c:pt idx="962">
                  <c:v>36.644800000001695</c:v>
                </c:pt>
                <c:pt idx="963">
                  <c:v>36.644900000001698</c:v>
                </c:pt>
                <c:pt idx="964">
                  <c:v>36.645000000001701</c:v>
                </c:pt>
                <c:pt idx="965">
                  <c:v>36.645100000001705</c:v>
                </c:pt>
                <c:pt idx="966">
                  <c:v>36.645200000001708</c:v>
                </c:pt>
                <c:pt idx="967">
                  <c:v>36.645300000001711</c:v>
                </c:pt>
                <c:pt idx="968">
                  <c:v>36.645400000001715</c:v>
                </c:pt>
                <c:pt idx="969">
                  <c:v>36.645500000001718</c:v>
                </c:pt>
                <c:pt idx="970">
                  <c:v>36.645600000001721</c:v>
                </c:pt>
                <c:pt idx="971">
                  <c:v>36.645700000001725</c:v>
                </c:pt>
                <c:pt idx="972">
                  <c:v>36.645800000001728</c:v>
                </c:pt>
                <c:pt idx="973">
                  <c:v>36.645900000001731</c:v>
                </c:pt>
                <c:pt idx="974">
                  <c:v>36.646000000001735</c:v>
                </c:pt>
                <c:pt idx="975">
                  <c:v>36.646100000001738</c:v>
                </c:pt>
                <c:pt idx="976">
                  <c:v>36.646200000001741</c:v>
                </c:pt>
                <c:pt idx="977">
                  <c:v>36.646300000001744</c:v>
                </c:pt>
                <c:pt idx="978">
                  <c:v>36.646400000001748</c:v>
                </c:pt>
                <c:pt idx="979">
                  <c:v>36.646500000001751</c:v>
                </c:pt>
                <c:pt idx="980">
                  <c:v>36.646600000001754</c:v>
                </c:pt>
                <c:pt idx="981">
                  <c:v>36.646700000001758</c:v>
                </c:pt>
                <c:pt idx="982">
                  <c:v>36.646800000001761</c:v>
                </c:pt>
                <c:pt idx="983">
                  <c:v>36.646900000001764</c:v>
                </c:pt>
                <c:pt idx="984">
                  <c:v>36.647000000001768</c:v>
                </c:pt>
                <c:pt idx="985">
                  <c:v>36.647100000001771</c:v>
                </c:pt>
                <c:pt idx="986">
                  <c:v>36.647200000001774</c:v>
                </c:pt>
                <c:pt idx="987">
                  <c:v>36.647300000001778</c:v>
                </c:pt>
                <c:pt idx="988">
                  <c:v>36.647400000001781</c:v>
                </c:pt>
                <c:pt idx="989">
                  <c:v>36.647500000001784</c:v>
                </c:pt>
                <c:pt idx="990">
                  <c:v>36.647600000001788</c:v>
                </c:pt>
                <c:pt idx="991">
                  <c:v>36.647700000001791</c:v>
                </c:pt>
                <c:pt idx="992">
                  <c:v>36.647800000001794</c:v>
                </c:pt>
                <c:pt idx="993">
                  <c:v>36.647900000001798</c:v>
                </c:pt>
                <c:pt idx="994">
                  <c:v>36.648000000001801</c:v>
                </c:pt>
                <c:pt idx="995">
                  <c:v>36.648100000001804</c:v>
                </c:pt>
                <c:pt idx="996">
                  <c:v>36.648200000001808</c:v>
                </c:pt>
                <c:pt idx="997">
                  <c:v>36.648300000001811</c:v>
                </c:pt>
                <c:pt idx="998">
                  <c:v>36.648400000001814</c:v>
                </c:pt>
                <c:pt idx="999">
                  <c:v>36.648500000001818</c:v>
                </c:pt>
                <c:pt idx="1000">
                  <c:v>36.648600000001821</c:v>
                </c:pt>
              </c:numCache>
            </c:numRef>
          </c:xVal>
          <c:yVal>
            <c:numRef>
              <c:f>Calculs!$Q$4:$Q$1004</c:f>
              <c:numCache>
                <c:formatCode>0.00</c:formatCode>
                <c:ptCount val="1001"/>
                <c:pt idx="0">
                  <c:v>0</c:v>
                </c:pt>
                <c:pt idx="1">
                  <c:v>62.499999999998664</c:v>
                </c:pt>
                <c:pt idx="2">
                  <c:v>187.49999999999599</c:v>
                </c:pt>
                <c:pt idx="3">
                  <c:v>240.00000000000108</c:v>
                </c:pt>
                <c:pt idx="4">
                  <c:v>220.00000000000148</c:v>
                </c:pt>
                <c:pt idx="5">
                  <c:v>209.56896551724145</c:v>
                </c:pt>
                <c:pt idx="6">
                  <c:v>208.70689655172424</c:v>
                </c:pt>
                <c:pt idx="7">
                  <c:v>207.844827586207</c:v>
                </c:pt>
                <c:pt idx="8">
                  <c:v>206.98275862068979</c:v>
                </c:pt>
                <c:pt idx="9">
                  <c:v>206.12068965517258</c:v>
                </c:pt>
                <c:pt idx="10">
                  <c:v>205.25862068965534</c:v>
                </c:pt>
                <c:pt idx="11">
                  <c:v>204.39655172413813</c:v>
                </c:pt>
                <c:pt idx="12">
                  <c:v>203.5344827586209</c:v>
                </c:pt>
                <c:pt idx="13">
                  <c:v>202.67241379310369</c:v>
                </c:pt>
                <c:pt idx="14">
                  <c:v>201.81034482758645</c:v>
                </c:pt>
                <c:pt idx="15">
                  <c:v>200.94827586206924</c:v>
                </c:pt>
                <c:pt idx="16">
                  <c:v>200.086206896552</c:v>
                </c:pt>
                <c:pt idx="17">
                  <c:v>199.22413793103479</c:v>
                </c:pt>
                <c:pt idx="18">
                  <c:v>198.36206896551755</c:v>
                </c:pt>
                <c:pt idx="19">
                  <c:v>197.50000000000034</c:v>
                </c:pt>
                <c:pt idx="20">
                  <c:v>196.63793103448313</c:v>
                </c:pt>
                <c:pt idx="21">
                  <c:v>195.77586206896589</c:v>
                </c:pt>
                <c:pt idx="22">
                  <c:v>194.91379310344868</c:v>
                </c:pt>
                <c:pt idx="23">
                  <c:v>194.05172413793144</c:v>
                </c:pt>
                <c:pt idx="24">
                  <c:v>193.18965517241423</c:v>
                </c:pt>
                <c:pt idx="25">
                  <c:v>192.327586206897</c:v>
                </c:pt>
                <c:pt idx="26">
                  <c:v>191.46551724137979</c:v>
                </c:pt>
                <c:pt idx="27">
                  <c:v>190.60344827586255</c:v>
                </c:pt>
                <c:pt idx="28">
                  <c:v>189.74137931034534</c:v>
                </c:pt>
                <c:pt idx="29">
                  <c:v>188.8793103448281</c:v>
                </c:pt>
                <c:pt idx="30">
                  <c:v>188.01724137931089</c:v>
                </c:pt>
                <c:pt idx="31">
                  <c:v>187.15517241379365</c:v>
                </c:pt>
                <c:pt idx="32">
                  <c:v>186.29310344827644</c:v>
                </c:pt>
                <c:pt idx="33">
                  <c:v>185.43103448275923</c:v>
                </c:pt>
                <c:pt idx="34">
                  <c:v>184.56896551724199</c:v>
                </c:pt>
                <c:pt idx="35">
                  <c:v>183.70689655172475</c:v>
                </c:pt>
                <c:pt idx="36">
                  <c:v>182.84482758620754</c:v>
                </c:pt>
                <c:pt idx="37">
                  <c:v>181.98275862069033</c:v>
                </c:pt>
                <c:pt idx="38">
                  <c:v>181.12068965517309</c:v>
                </c:pt>
                <c:pt idx="39">
                  <c:v>180.25862068965588</c:v>
                </c:pt>
                <c:pt idx="40">
                  <c:v>179.39655172413865</c:v>
                </c:pt>
                <c:pt idx="41">
                  <c:v>178.53448275862144</c:v>
                </c:pt>
                <c:pt idx="42">
                  <c:v>177.6724137931042</c:v>
                </c:pt>
                <c:pt idx="43">
                  <c:v>176.81034482758699</c:v>
                </c:pt>
                <c:pt idx="44">
                  <c:v>175.94827586206975</c:v>
                </c:pt>
                <c:pt idx="45">
                  <c:v>175.08620689655254</c:v>
                </c:pt>
                <c:pt idx="46">
                  <c:v>174.22413793103533</c:v>
                </c:pt>
                <c:pt idx="47">
                  <c:v>173.36206896551809</c:v>
                </c:pt>
                <c:pt idx="48">
                  <c:v>172.50000000000085</c:v>
                </c:pt>
                <c:pt idx="49">
                  <c:v>171.63793103448364</c:v>
                </c:pt>
                <c:pt idx="50">
                  <c:v>170.77586206896643</c:v>
                </c:pt>
                <c:pt idx="51">
                  <c:v>169.91379310344919</c:v>
                </c:pt>
                <c:pt idx="52">
                  <c:v>169.05172413793198</c:v>
                </c:pt>
                <c:pt idx="53">
                  <c:v>168.18965517241475</c:v>
                </c:pt>
                <c:pt idx="54">
                  <c:v>167.32758620689754</c:v>
                </c:pt>
                <c:pt idx="55">
                  <c:v>166.46551724138033</c:v>
                </c:pt>
                <c:pt idx="56">
                  <c:v>165.60344827586309</c:v>
                </c:pt>
                <c:pt idx="57">
                  <c:v>164.74137931034588</c:v>
                </c:pt>
                <c:pt idx="58">
                  <c:v>163.87931034482864</c:v>
                </c:pt>
                <c:pt idx="59">
                  <c:v>163.01724137931143</c:v>
                </c:pt>
                <c:pt idx="60">
                  <c:v>162.15517241379419</c:v>
                </c:pt>
                <c:pt idx="61">
                  <c:v>161.29310344827698</c:v>
                </c:pt>
                <c:pt idx="62">
                  <c:v>160.43103448275974</c:v>
                </c:pt>
                <c:pt idx="63">
                  <c:v>158.75000000000333</c:v>
                </c:pt>
                <c:pt idx="64">
                  <c:v>156.25000000000338</c:v>
                </c:pt>
                <c:pt idx="65">
                  <c:v>153.75000000000344</c:v>
                </c:pt>
                <c:pt idx="66">
                  <c:v>151.2500000000035</c:v>
                </c:pt>
                <c:pt idx="67">
                  <c:v>148.00000000000568</c:v>
                </c:pt>
                <c:pt idx="68">
                  <c:v>144.00000000000577</c:v>
                </c:pt>
                <c:pt idx="69">
                  <c:v>138.66666666667643</c:v>
                </c:pt>
                <c:pt idx="70">
                  <c:v>132.00000000000992</c:v>
                </c:pt>
                <c:pt idx="71">
                  <c:v>125.33333333334338</c:v>
                </c:pt>
                <c:pt idx="72">
                  <c:v>118.66666666667686</c:v>
                </c:pt>
                <c:pt idx="73">
                  <c:v>112.00000000001033</c:v>
                </c:pt>
                <c:pt idx="74">
                  <c:v>105.3333333333438</c:v>
                </c:pt>
                <c:pt idx="75">
                  <c:v>98.666666666677287</c:v>
                </c:pt>
                <c:pt idx="76">
                  <c:v>92.000000000010758</c:v>
                </c:pt>
                <c:pt idx="77">
                  <c:v>85.333333333344228</c:v>
                </c:pt>
                <c:pt idx="78">
                  <c:v>78.666666666677713</c:v>
                </c:pt>
                <c:pt idx="79">
                  <c:v>72.000000000011184</c:v>
                </c:pt>
                <c:pt idx="80">
                  <c:v>65.333333333344655</c:v>
                </c:pt>
                <c:pt idx="81">
                  <c:v>60.250000000006018</c:v>
                </c:pt>
                <c:pt idx="82">
                  <c:v>56.750000000006082</c:v>
                </c:pt>
                <c:pt idx="83">
                  <c:v>53.250000000006153</c:v>
                </c:pt>
                <c:pt idx="84">
                  <c:v>49.750000000006224</c:v>
                </c:pt>
                <c:pt idx="85">
                  <c:v>46.250000000006295</c:v>
                </c:pt>
                <c:pt idx="86">
                  <c:v>42.750000000006374</c:v>
                </c:pt>
                <c:pt idx="87">
                  <c:v>39.250000000006452</c:v>
                </c:pt>
                <c:pt idx="88">
                  <c:v>35.750000000006523</c:v>
                </c:pt>
                <c:pt idx="89">
                  <c:v>32.750000000004718</c:v>
                </c:pt>
                <c:pt idx="90">
                  <c:v>30.250000000004775</c:v>
                </c:pt>
                <c:pt idx="91">
                  <c:v>27.750000000004832</c:v>
                </c:pt>
                <c:pt idx="92">
                  <c:v>25.250000000004885</c:v>
                </c:pt>
                <c:pt idx="93">
                  <c:v>22.875000000004444</c:v>
                </c:pt>
                <c:pt idx="94">
                  <c:v>20.625000000004487</c:v>
                </c:pt>
                <c:pt idx="95">
                  <c:v>18.37500000000453</c:v>
                </c:pt>
                <c:pt idx="96">
                  <c:v>16.125000000004576</c:v>
                </c:pt>
                <c:pt idx="97">
                  <c:v>14.375000000002567</c:v>
                </c:pt>
                <c:pt idx="98">
                  <c:v>13.125000000002595</c:v>
                </c:pt>
                <c:pt idx="99">
                  <c:v>11.875000000002622</c:v>
                </c:pt>
                <c:pt idx="100">
                  <c:v>10.62500000000265</c:v>
                </c:pt>
                <c:pt idx="101">
                  <c:v>9.3750000000026787</c:v>
                </c:pt>
                <c:pt idx="102">
                  <c:v>8.1250000000027072</c:v>
                </c:pt>
                <c:pt idx="103">
                  <c:v>6.8750000000027338</c:v>
                </c:pt>
                <c:pt idx="104">
                  <c:v>5.6250000000027613</c:v>
                </c:pt>
                <c:pt idx="105">
                  <c:v>4.3750000000027898</c:v>
                </c:pt>
                <c:pt idx="106">
                  <c:v>3.1250000000028173</c:v>
                </c:pt>
                <c:pt idx="107">
                  <c:v>1.8750000000028457</c:v>
                </c:pt>
                <c:pt idx="108">
                  <c:v>0.62500000000287237</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35.100000000000186</c:v>
                </c:pt>
                <c:pt idx="500">
                  <c:v>35.200000000000188</c:v>
                </c:pt>
                <c:pt idx="501">
                  <c:v>35.300000000000189</c:v>
                </c:pt>
                <c:pt idx="502">
                  <c:v>35.40000000000019</c:v>
                </c:pt>
                <c:pt idx="503">
                  <c:v>35.500000000000192</c:v>
                </c:pt>
                <c:pt idx="504">
                  <c:v>35.600000000000193</c:v>
                </c:pt>
                <c:pt idx="505">
                  <c:v>35.700000000000195</c:v>
                </c:pt>
                <c:pt idx="506">
                  <c:v>35.800000000000196</c:v>
                </c:pt>
                <c:pt idx="507">
                  <c:v>35.900000000000198</c:v>
                </c:pt>
                <c:pt idx="508">
                  <c:v>36.000000000000199</c:v>
                </c:pt>
                <c:pt idx="509">
                  <c:v>36.1000000000002</c:v>
                </c:pt>
                <c:pt idx="510">
                  <c:v>36.200000000000202</c:v>
                </c:pt>
                <c:pt idx="511">
                  <c:v>36.300000000000203</c:v>
                </c:pt>
                <c:pt idx="512">
                  <c:v>36.400000000000205</c:v>
                </c:pt>
                <c:pt idx="513">
                  <c:v>36.500000000000206</c:v>
                </c:pt>
                <c:pt idx="514">
                  <c:v>36.600000000000207</c:v>
                </c:pt>
                <c:pt idx="515">
                  <c:v>36.600100000000211</c:v>
                </c:pt>
                <c:pt idx="516">
                  <c:v>36.600200000000214</c:v>
                </c:pt>
                <c:pt idx="517">
                  <c:v>36.600300000000217</c:v>
                </c:pt>
                <c:pt idx="518">
                  <c:v>36.600400000000221</c:v>
                </c:pt>
                <c:pt idx="519">
                  <c:v>36.600500000000224</c:v>
                </c:pt>
                <c:pt idx="520">
                  <c:v>36.600600000000227</c:v>
                </c:pt>
                <c:pt idx="521">
                  <c:v>36.600700000000231</c:v>
                </c:pt>
                <c:pt idx="522">
                  <c:v>36.600800000000234</c:v>
                </c:pt>
                <c:pt idx="523">
                  <c:v>36.600900000000237</c:v>
                </c:pt>
                <c:pt idx="524">
                  <c:v>36.601000000000241</c:v>
                </c:pt>
                <c:pt idx="525">
                  <c:v>36.601100000000244</c:v>
                </c:pt>
                <c:pt idx="526">
                  <c:v>36.601200000000247</c:v>
                </c:pt>
                <c:pt idx="527">
                  <c:v>36.601300000000251</c:v>
                </c:pt>
                <c:pt idx="528">
                  <c:v>36.601400000000254</c:v>
                </c:pt>
                <c:pt idx="529">
                  <c:v>36.601500000000257</c:v>
                </c:pt>
                <c:pt idx="530">
                  <c:v>36.601600000000261</c:v>
                </c:pt>
                <c:pt idx="531">
                  <c:v>36.601700000000264</c:v>
                </c:pt>
                <c:pt idx="532">
                  <c:v>36.601800000000267</c:v>
                </c:pt>
                <c:pt idx="533">
                  <c:v>36.601900000000271</c:v>
                </c:pt>
                <c:pt idx="534">
                  <c:v>36.602000000000274</c:v>
                </c:pt>
                <c:pt idx="535">
                  <c:v>36.602100000000277</c:v>
                </c:pt>
                <c:pt idx="536">
                  <c:v>36.602200000000281</c:v>
                </c:pt>
                <c:pt idx="537">
                  <c:v>36.602300000000284</c:v>
                </c:pt>
                <c:pt idx="538">
                  <c:v>36.602400000000287</c:v>
                </c:pt>
                <c:pt idx="539">
                  <c:v>36.60250000000029</c:v>
                </c:pt>
                <c:pt idx="540">
                  <c:v>36.602600000000294</c:v>
                </c:pt>
                <c:pt idx="541">
                  <c:v>36.602700000000297</c:v>
                </c:pt>
                <c:pt idx="542">
                  <c:v>36.6028000000003</c:v>
                </c:pt>
                <c:pt idx="543">
                  <c:v>36.602900000000304</c:v>
                </c:pt>
                <c:pt idx="544">
                  <c:v>36.603000000000307</c:v>
                </c:pt>
                <c:pt idx="545">
                  <c:v>36.60310000000031</c:v>
                </c:pt>
                <c:pt idx="546">
                  <c:v>36.603200000000314</c:v>
                </c:pt>
                <c:pt idx="547">
                  <c:v>36.603300000000317</c:v>
                </c:pt>
                <c:pt idx="548">
                  <c:v>36.60340000000032</c:v>
                </c:pt>
                <c:pt idx="549">
                  <c:v>36.603500000000324</c:v>
                </c:pt>
                <c:pt idx="550">
                  <c:v>36.603600000000327</c:v>
                </c:pt>
                <c:pt idx="551">
                  <c:v>36.60370000000033</c:v>
                </c:pt>
                <c:pt idx="552">
                  <c:v>36.603800000000334</c:v>
                </c:pt>
                <c:pt idx="553">
                  <c:v>36.603900000000337</c:v>
                </c:pt>
                <c:pt idx="554">
                  <c:v>36.60400000000034</c:v>
                </c:pt>
                <c:pt idx="555">
                  <c:v>36.604100000000344</c:v>
                </c:pt>
                <c:pt idx="556">
                  <c:v>36.604200000000347</c:v>
                </c:pt>
                <c:pt idx="557">
                  <c:v>36.60430000000035</c:v>
                </c:pt>
                <c:pt idx="558">
                  <c:v>36.604400000000354</c:v>
                </c:pt>
                <c:pt idx="559">
                  <c:v>36.604500000000357</c:v>
                </c:pt>
                <c:pt idx="560">
                  <c:v>36.60460000000036</c:v>
                </c:pt>
                <c:pt idx="561">
                  <c:v>36.604700000000364</c:v>
                </c:pt>
                <c:pt idx="562">
                  <c:v>36.604800000000367</c:v>
                </c:pt>
                <c:pt idx="563">
                  <c:v>36.60490000000037</c:v>
                </c:pt>
                <c:pt idx="564">
                  <c:v>36.605000000000373</c:v>
                </c:pt>
                <c:pt idx="565">
                  <c:v>36.605100000000377</c:v>
                </c:pt>
                <c:pt idx="566">
                  <c:v>36.60520000000038</c:v>
                </c:pt>
                <c:pt idx="567">
                  <c:v>36.605300000000383</c:v>
                </c:pt>
                <c:pt idx="568">
                  <c:v>36.605400000000387</c:v>
                </c:pt>
                <c:pt idx="569">
                  <c:v>36.60550000000039</c:v>
                </c:pt>
                <c:pt idx="570">
                  <c:v>36.605600000000393</c:v>
                </c:pt>
                <c:pt idx="571">
                  <c:v>36.605700000000397</c:v>
                </c:pt>
                <c:pt idx="572">
                  <c:v>36.6058000000004</c:v>
                </c:pt>
                <c:pt idx="573">
                  <c:v>36.605900000000403</c:v>
                </c:pt>
                <c:pt idx="574">
                  <c:v>36.606000000000407</c:v>
                </c:pt>
                <c:pt idx="575">
                  <c:v>36.60610000000041</c:v>
                </c:pt>
                <c:pt idx="576">
                  <c:v>36.606200000000413</c:v>
                </c:pt>
                <c:pt idx="577">
                  <c:v>36.606300000000417</c:v>
                </c:pt>
                <c:pt idx="578">
                  <c:v>36.60640000000042</c:v>
                </c:pt>
                <c:pt idx="579">
                  <c:v>36.606500000000423</c:v>
                </c:pt>
                <c:pt idx="580">
                  <c:v>36.606600000000427</c:v>
                </c:pt>
                <c:pt idx="581">
                  <c:v>36.60670000000043</c:v>
                </c:pt>
                <c:pt idx="582">
                  <c:v>36.606800000000433</c:v>
                </c:pt>
                <c:pt idx="583">
                  <c:v>36.606900000000437</c:v>
                </c:pt>
                <c:pt idx="584">
                  <c:v>36.60700000000044</c:v>
                </c:pt>
                <c:pt idx="585">
                  <c:v>36.607100000000443</c:v>
                </c:pt>
                <c:pt idx="586">
                  <c:v>36.607200000000446</c:v>
                </c:pt>
                <c:pt idx="587">
                  <c:v>36.60730000000045</c:v>
                </c:pt>
                <c:pt idx="588">
                  <c:v>36.607400000000453</c:v>
                </c:pt>
                <c:pt idx="589">
                  <c:v>36.607500000000456</c:v>
                </c:pt>
                <c:pt idx="590">
                  <c:v>36.60760000000046</c:v>
                </c:pt>
                <c:pt idx="591">
                  <c:v>36.607700000000463</c:v>
                </c:pt>
                <c:pt idx="592">
                  <c:v>36.607800000000466</c:v>
                </c:pt>
                <c:pt idx="593">
                  <c:v>36.60790000000047</c:v>
                </c:pt>
                <c:pt idx="594">
                  <c:v>36.608000000000473</c:v>
                </c:pt>
                <c:pt idx="595">
                  <c:v>36.608100000000476</c:v>
                </c:pt>
                <c:pt idx="596">
                  <c:v>36.60820000000048</c:v>
                </c:pt>
                <c:pt idx="597">
                  <c:v>36.608300000000483</c:v>
                </c:pt>
                <c:pt idx="598">
                  <c:v>36.608400000000486</c:v>
                </c:pt>
                <c:pt idx="599">
                  <c:v>36.60850000000049</c:v>
                </c:pt>
                <c:pt idx="600">
                  <c:v>36.608600000000493</c:v>
                </c:pt>
                <c:pt idx="601">
                  <c:v>36.608700000000496</c:v>
                </c:pt>
                <c:pt idx="602">
                  <c:v>36.6088000000005</c:v>
                </c:pt>
                <c:pt idx="603">
                  <c:v>36.608900000000503</c:v>
                </c:pt>
                <c:pt idx="604">
                  <c:v>36.609000000000506</c:v>
                </c:pt>
                <c:pt idx="605">
                  <c:v>36.60910000000051</c:v>
                </c:pt>
                <c:pt idx="606">
                  <c:v>36.609200000000513</c:v>
                </c:pt>
                <c:pt idx="607">
                  <c:v>36.609300000000516</c:v>
                </c:pt>
                <c:pt idx="608">
                  <c:v>36.60940000000052</c:v>
                </c:pt>
                <c:pt idx="609">
                  <c:v>36.609500000000523</c:v>
                </c:pt>
                <c:pt idx="610">
                  <c:v>36.609600000000526</c:v>
                </c:pt>
                <c:pt idx="611">
                  <c:v>36.609700000000529</c:v>
                </c:pt>
                <c:pt idx="612">
                  <c:v>36.609800000000533</c:v>
                </c:pt>
                <c:pt idx="613">
                  <c:v>36.609900000000536</c:v>
                </c:pt>
                <c:pt idx="614">
                  <c:v>36.610000000000539</c:v>
                </c:pt>
                <c:pt idx="615">
                  <c:v>36.610100000000543</c:v>
                </c:pt>
                <c:pt idx="616">
                  <c:v>36.610200000000546</c:v>
                </c:pt>
                <c:pt idx="617">
                  <c:v>36.610300000000549</c:v>
                </c:pt>
                <c:pt idx="618">
                  <c:v>36.610400000000553</c:v>
                </c:pt>
                <c:pt idx="619">
                  <c:v>36.610500000000556</c:v>
                </c:pt>
                <c:pt idx="620">
                  <c:v>36.610600000000559</c:v>
                </c:pt>
                <c:pt idx="621">
                  <c:v>36.610700000000563</c:v>
                </c:pt>
                <c:pt idx="622">
                  <c:v>36.610800000000566</c:v>
                </c:pt>
                <c:pt idx="623">
                  <c:v>36.610900000000569</c:v>
                </c:pt>
                <c:pt idx="624">
                  <c:v>36.611000000000573</c:v>
                </c:pt>
                <c:pt idx="625">
                  <c:v>36.611100000000576</c:v>
                </c:pt>
                <c:pt idx="626">
                  <c:v>36.611200000000579</c:v>
                </c:pt>
                <c:pt idx="627">
                  <c:v>36.611300000000583</c:v>
                </c:pt>
                <c:pt idx="628">
                  <c:v>36.611400000000586</c:v>
                </c:pt>
                <c:pt idx="629">
                  <c:v>36.611500000000589</c:v>
                </c:pt>
                <c:pt idx="630">
                  <c:v>36.611600000000593</c:v>
                </c:pt>
                <c:pt idx="631">
                  <c:v>36.611700000000596</c:v>
                </c:pt>
                <c:pt idx="632">
                  <c:v>36.611800000000599</c:v>
                </c:pt>
                <c:pt idx="633">
                  <c:v>36.611900000000603</c:v>
                </c:pt>
                <c:pt idx="634">
                  <c:v>36.612000000000606</c:v>
                </c:pt>
                <c:pt idx="635">
                  <c:v>36.612100000000609</c:v>
                </c:pt>
                <c:pt idx="636">
                  <c:v>36.612200000000612</c:v>
                </c:pt>
                <c:pt idx="637">
                  <c:v>36.612300000000616</c:v>
                </c:pt>
                <c:pt idx="638">
                  <c:v>36.612400000000619</c:v>
                </c:pt>
                <c:pt idx="639">
                  <c:v>36.612500000000622</c:v>
                </c:pt>
                <c:pt idx="640">
                  <c:v>36.612600000000626</c:v>
                </c:pt>
                <c:pt idx="641">
                  <c:v>36.612700000000629</c:v>
                </c:pt>
                <c:pt idx="642">
                  <c:v>36.612800000000632</c:v>
                </c:pt>
                <c:pt idx="643">
                  <c:v>36.612900000000636</c:v>
                </c:pt>
                <c:pt idx="644">
                  <c:v>36.613000000000639</c:v>
                </c:pt>
                <c:pt idx="645">
                  <c:v>36.613100000000642</c:v>
                </c:pt>
                <c:pt idx="646">
                  <c:v>36.613200000000646</c:v>
                </c:pt>
                <c:pt idx="647">
                  <c:v>36.613300000000649</c:v>
                </c:pt>
                <c:pt idx="648">
                  <c:v>36.613400000000652</c:v>
                </c:pt>
                <c:pt idx="649">
                  <c:v>36.613500000000656</c:v>
                </c:pt>
                <c:pt idx="650">
                  <c:v>36.613600000000659</c:v>
                </c:pt>
                <c:pt idx="651">
                  <c:v>36.613700000000662</c:v>
                </c:pt>
                <c:pt idx="652">
                  <c:v>36.613800000000666</c:v>
                </c:pt>
                <c:pt idx="653">
                  <c:v>36.613900000000669</c:v>
                </c:pt>
                <c:pt idx="654">
                  <c:v>36.614000000000672</c:v>
                </c:pt>
                <c:pt idx="655">
                  <c:v>36.614100000000676</c:v>
                </c:pt>
                <c:pt idx="656">
                  <c:v>36.614200000000679</c:v>
                </c:pt>
                <c:pt idx="657">
                  <c:v>36.614300000000682</c:v>
                </c:pt>
                <c:pt idx="658">
                  <c:v>36.614400000000686</c:v>
                </c:pt>
                <c:pt idx="659">
                  <c:v>36.614500000000689</c:v>
                </c:pt>
                <c:pt idx="660">
                  <c:v>36.614600000000692</c:v>
                </c:pt>
                <c:pt idx="661">
                  <c:v>36.614700000000695</c:v>
                </c:pt>
                <c:pt idx="662">
                  <c:v>36.614800000000699</c:v>
                </c:pt>
                <c:pt idx="663">
                  <c:v>36.614900000000702</c:v>
                </c:pt>
                <c:pt idx="664">
                  <c:v>36.615000000000705</c:v>
                </c:pt>
                <c:pt idx="665">
                  <c:v>36.615100000000709</c:v>
                </c:pt>
                <c:pt idx="666">
                  <c:v>36.615200000000712</c:v>
                </c:pt>
                <c:pt idx="667">
                  <c:v>36.615300000000715</c:v>
                </c:pt>
                <c:pt idx="668">
                  <c:v>36.615400000000719</c:v>
                </c:pt>
                <c:pt idx="669">
                  <c:v>36.615500000000722</c:v>
                </c:pt>
                <c:pt idx="670">
                  <c:v>36.615600000000725</c:v>
                </c:pt>
                <c:pt idx="671">
                  <c:v>36.615700000000729</c:v>
                </c:pt>
                <c:pt idx="672">
                  <c:v>36.615800000000732</c:v>
                </c:pt>
                <c:pt idx="673">
                  <c:v>36.615900000000735</c:v>
                </c:pt>
                <c:pt idx="674">
                  <c:v>36.616000000000739</c:v>
                </c:pt>
                <c:pt idx="675">
                  <c:v>36.616100000000742</c:v>
                </c:pt>
                <c:pt idx="676">
                  <c:v>36.616200000000745</c:v>
                </c:pt>
                <c:pt idx="677">
                  <c:v>36.616300000000749</c:v>
                </c:pt>
                <c:pt idx="678">
                  <c:v>36.616400000000752</c:v>
                </c:pt>
                <c:pt idx="679">
                  <c:v>36.616500000000755</c:v>
                </c:pt>
                <c:pt idx="680">
                  <c:v>36.616600000000759</c:v>
                </c:pt>
                <c:pt idx="681">
                  <c:v>36.616700000000762</c:v>
                </c:pt>
                <c:pt idx="682">
                  <c:v>36.616800000000765</c:v>
                </c:pt>
                <c:pt idx="683">
                  <c:v>36.616900000000769</c:v>
                </c:pt>
                <c:pt idx="684">
                  <c:v>36.617000000000772</c:v>
                </c:pt>
                <c:pt idx="685">
                  <c:v>36.617100000000775</c:v>
                </c:pt>
                <c:pt idx="686">
                  <c:v>36.617200000000778</c:v>
                </c:pt>
                <c:pt idx="687">
                  <c:v>36.617300000000782</c:v>
                </c:pt>
                <c:pt idx="688">
                  <c:v>36.617400000000785</c:v>
                </c:pt>
                <c:pt idx="689">
                  <c:v>36.617500000000788</c:v>
                </c:pt>
                <c:pt idx="690">
                  <c:v>36.617600000000792</c:v>
                </c:pt>
                <c:pt idx="691">
                  <c:v>36.617700000000795</c:v>
                </c:pt>
                <c:pt idx="692">
                  <c:v>36.617800000000798</c:v>
                </c:pt>
                <c:pt idx="693">
                  <c:v>36.617900000000802</c:v>
                </c:pt>
                <c:pt idx="694">
                  <c:v>36.618000000000805</c:v>
                </c:pt>
                <c:pt idx="695">
                  <c:v>36.618100000000808</c:v>
                </c:pt>
                <c:pt idx="696">
                  <c:v>36.618200000000812</c:v>
                </c:pt>
                <c:pt idx="697">
                  <c:v>36.618300000000815</c:v>
                </c:pt>
                <c:pt idx="698">
                  <c:v>36.618400000000818</c:v>
                </c:pt>
                <c:pt idx="699">
                  <c:v>36.618500000000822</c:v>
                </c:pt>
                <c:pt idx="700">
                  <c:v>36.618600000000825</c:v>
                </c:pt>
                <c:pt idx="701">
                  <c:v>36.618700000000828</c:v>
                </c:pt>
                <c:pt idx="702">
                  <c:v>36.618800000000832</c:v>
                </c:pt>
                <c:pt idx="703">
                  <c:v>36.618900000000835</c:v>
                </c:pt>
                <c:pt idx="704">
                  <c:v>36.619000000000838</c:v>
                </c:pt>
                <c:pt idx="705">
                  <c:v>36.619100000000842</c:v>
                </c:pt>
                <c:pt idx="706">
                  <c:v>36.619200000000845</c:v>
                </c:pt>
                <c:pt idx="707">
                  <c:v>36.619300000000848</c:v>
                </c:pt>
                <c:pt idx="708">
                  <c:v>36.619400000000851</c:v>
                </c:pt>
                <c:pt idx="709">
                  <c:v>36.619500000000855</c:v>
                </c:pt>
                <c:pt idx="710">
                  <c:v>36.619600000000858</c:v>
                </c:pt>
                <c:pt idx="711">
                  <c:v>36.619700000000861</c:v>
                </c:pt>
                <c:pt idx="712">
                  <c:v>36.619800000000865</c:v>
                </c:pt>
                <c:pt idx="713">
                  <c:v>36.619900000000868</c:v>
                </c:pt>
                <c:pt idx="714">
                  <c:v>36.620000000000871</c:v>
                </c:pt>
                <c:pt idx="715">
                  <c:v>36.620100000000875</c:v>
                </c:pt>
                <c:pt idx="716">
                  <c:v>36.620200000000878</c:v>
                </c:pt>
                <c:pt idx="717">
                  <c:v>36.620300000000881</c:v>
                </c:pt>
                <c:pt idx="718">
                  <c:v>36.620400000000885</c:v>
                </c:pt>
                <c:pt idx="719">
                  <c:v>36.620500000000888</c:v>
                </c:pt>
                <c:pt idx="720">
                  <c:v>36.620600000000891</c:v>
                </c:pt>
                <c:pt idx="721">
                  <c:v>36.620700000000895</c:v>
                </c:pt>
                <c:pt idx="722">
                  <c:v>36.620800000000898</c:v>
                </c:pt>
                <c:pt idx="723">
                  <c:v>36.620900000000901</c:v>
                </c:pt>
                <c:pt idx="724">
                  <c:v>36.621000000000905</c:v>
                </c:pt>
                <c:pt idx="725">
                  <c:v>36.621100000000908</c:v>
                </c:pt>
                <c:pt idx="726">
                  <c:v>36.621200000000911</c:v>
                </c:pt>
                <c:pt idx="727">
                  <c:v>36.621300000000915</c:v>
                </c:pt>
                <c:pt idx="728">
                  <c:v>36.621400000000918</c:v>
                </c:pt>
                <c:pt idx="729">
                  <c:v>36.621500000000921</c:v>
                </c:pt>
                <c:pt idx="730">
                  <c:v>36.621600000000925</c:v>
                </c:pt>
                <c:pt idx="731">
                  <c:v>36.621700000000928</c:v>
                </c:pt>
                <c:pt idx="732">
                  <c:v>36.621800000000931</c:v>
                </c:pt>
                <c:pt idx="733">
                  <c:v>36.621900000000934</c:v>
                </c:pt>
                <c:pt idx="734">
                  <c:v>36.622000000000938</c:v>
                </c:pt>
                <c:pt idx="735">
                  <c:v>36.622100000000941</c:v>
                </c:pt>
                <c:pt idx="736">
                  <c:v>36.622200000000944</c:v>
                </c:pt>
                <c:pt idx="737">
                  <c:v>36.622300000000948</c:v>
                </c:pt>
                <c:pt idx="738">
                  <c:v>36.622400000000951</c:v>
                </c:pt>
                <c:pt idx="739">
                  <c:v>36.622500000000954</c:v>
                </c:pt>
                <c:pt idx="740">
                  <c:v>36.622600000000958</c:v>
                </c:pt>
                <c:pt idx="741">
                  <c:v>36.622700000000961</c:v>
                </c:pt>
                <c:pt idx="742">
                  <c:v>36.622800000000964</c:v>
                </c:pt>
                <c:pt idx="743">
                  <c:v>36.622900000000968</c:v>
                </c:pt>
                <c:pt idx="744">
                  <c:v>36.623000000000971</c:v>
                </c:pt>
                <c:pt idx="745">
                  <c:v>36.623100000000974</c:v>
                </c:pt>
                <c:pt idx="746">
                  <c:v>36.623200000000978</c:v>
                </c:pt>
                <c:pt idx="747">
                  <c:v>36.623300000000981</c:v>
                </c:pt>
                <c:pt idx="748">
                  <c:v>36.623400000000984</c:v>
                </c:pt>
                <c:pt idx="749">
                  <c:v>36.623500000000988</c:v>
                </c:pt>
                <c:pt idx="750">
                  <c:v>36.623600000000991</c:v>
                </c:pt>
                <c:pt idx="751">
                  <c:v>36.623700000000994</c:v>
                </c:pt>
                <c:pt idx="752">
                  <c:v>36.623800000000998</c:v>
                </c:pt>
                <c:pt idx="753">
                  <c:v>36.623900000001001</c:v>
                </c:pt>
                <c:pt idx="754">
                  <c:v>36.624000000001004</c:v>
                </c:pt>
                <c:pt idx="755">
                  <c:v>36.624100000001008</c:v>
                </c:pt>
                <c:pt idx="756">
                  <c:v>36.624200000001011</c:v>
                </c:pt>
                <c:pt idx="757">
                  <c:v>36.624300000001014</c:v>
                </c:pt>
                <c:pt idx="758">
                  <c:v>36.624400000001017</c:v>
                </c:pt>
                <c:pt idx="759">
                  <c:v>36.624500000001021</c:v>
                </c:pt>
                <c:pt idx="760">
                  <c:v>36.624600000001024</c:v>
                </c:pt>
                <c:pt idx="761">
                  <c:v>36.624700000001027</c:v>
                </c:pt>
                <c:pt idx="762">
                  <c:v>36.624800000001031</c:v>
                </c:pt>
                <c:pt idx="763">
                  <c:v>36.624900000001034</c:v>
                </c:pt>
                <c:pt idx="764">
                  <c:v>36.625000000001037</c:v>
                </c:pt>
                <c:pt idx="765">
                  <c:v>36.625100000001041</c:v>
                </c:pt>
                <c:pt idx="766">
                  <c:v>36.625200000001044</c:v>
                </c:pt>
                <c:pt idx="767">
                  <c:v>36.625300000001047</c:v>
                </c:pt>
                <c:pt idx="768">
                  <c:v>36.625400000001051</c:v>
                </c:pt>
                <c:pt idx="769">
                  <c:v>36.625500000001054</c:v>
                </c:pt>
                <c:pt idx="770">
                  <c:v>36.625600000001057</c:v>
                </c:pt>
                <c:pt idx="771">
                  <c:v>36.625700000001061</c:v>
                </c:pt>
                <c:pt idx="772">
                  <c:v>36.625800000001064</c:v>
                </c:pt>
                <c:pt idx="773">
                  <c:v>36.625900000001067</c:v>
                </c:pt>
                <c:pt idx="774">
                  <c:v>36.626000000001071</c:v>
                </c:pt>
                <c:pt idx="775">
                  <c:v>36.626100000001074</c:v>
                </c:pt>
                <c:pt idx="776">
                  <c:v>36.626200000001077</c:v>
                </c:pt>
                <c:pt idx="777">
                  <c:v>36.626300000001081</c:v>
                </c:pt>
                <c:pt idx="778">
                  <c:v>36.626400000001084</c:v>
                </c:pt>
                <c:pt idx="779">
                  <c:v>36.626500000001087</c:v>
                </c:pt>
                <c:pt idx="780">
                  <c:v>36.626600000001091</c:v>
                </c:pt>
                <c:pt idx="781">
                  <c:v>36.626700000001094</c:v>
                </c:pt>
                <c:pt idx="782">
                  <c:v>36.626800000001097</c:v>
                </c:pt>
                <c:pt idx="783">
                  <c:v>36.6269000000011</c:v>
                </c:pt>
                <c:pt idx="784">
                  <c:v>36.627000000001104</c:v>
                </c:pt>
                <c:pt idx="785">
                  <c:v>36.627100000001107</c:v>
                </c:pt>
                <c:pt idx="786">
                  <c:v>36.62720000000111</c:v>
                </c:pt>
                <c:pt idx="787">
                  <c:v>36.627300000001114</c:v>
                </c:pt>
                <c:pt idx="788">
                  <c:v>36.627400000001117</c:v>
                </c:pt>
                <c:pt idx="789">
                  <c:v>36.62750000000112</c:v>
                </c:pt>
                <c:pt idx="790">
                  <c:v>36.627600000001124</c:v>
                </c:pt>
                <c:pt idx="791">
                  <c:v>36.627700000001127</c:v>
                </c:pt>
                <c:pt idx="792">
                  <c:v>36.62780000000113</c:v>
                </c:pt>
                <c:pt idx="793">
                  <c:v>36.627900000001134</c:v>
                </c:pt>
                <c:pt idx="794">
                  <c:v>36.628000000001137</c:v>
                </c:pt>
                <c:pt idx="795">
                  <c:v>36.62810000000114</c:v>
                </c:pt>
                <c:pt idx="796">
                  <c:v>36.628200000001144</c:v>
                </c:pt>
                <c:pt idx="797">
                  <c:v>36.628300000001147</c:v>
                </c:pt>
                <c:pt idx="798">
                  <c:v>36.62840000000115</c:v>
                </c:pt>
                <c:pt idx="799">
                  <c:v>36.628500000001154</c:v>
                </c:pt>
                <c:pt idx="800">
                  <c:v>36.628600000001157</c:v>
                </c:pt>
                <c:pt idx="801">
                  <c:v>36.62870000000116</c:v>
                </c:pt>
                <c:pt idx="802">
                  <c:v>36.628800000001164</c:v>
                </c:pt>
                <c:pt idx="803">
                  <c:v>36.628900000001167</c:v>
                </c:pt>
                <c:pt idx="804">
                  <c:v>36.62900000000117</c:v>
                </c:pt>
                <c:pt idx="805">
                  <c:v>36.629100000001173</c:v>
                </c:pt>
                <c:pt idx="806">
                  <c:v>36.629200000001177</c:v>
                </c:pt>
                <c:pt idx="807">
                  <c:v>36.62930000000118</c:v>
                </c:pt>
                <c:pt idx="808">
                  <c:v>36.629400000001183</c:v>
                </c:pt>
                <c:pt idx="809">
                  <c:v>36.629500000001187</c:v>
                </c:pt>
                <c:pt idx="810">
                  <c:v>36.62960000000119</c:v>
                </c:pt>
                <c:pt idx="811">
                  <c:v>36.629700000001193</c:v>
                </c:pt>
                <c:pt idx="812">
                  <c:v>36.629800000001197</c:v>
                </c:pt>
                <c:pt idx="813">
                  <c:v>36.6299000000012</c:v>
                </c:pt>
                <c:pt idx="814">
                  <c:v>36.630000000001203</c:v>
                </c:pt>
                <c:pt idx="815">
                  <c:v>36.630100000001207</c:v>
                </c:pt>
                <c:pt idx="816">
                  <c:v>36.63020000000121</c:v>
                </c:pt>
                <c:pt idx="817">
                  <c:v>36.630300000001213</c:v>
                </c:pt>
                <c:pt idx="818">
                  <c:v>36.630400000001217</c:v>
                </c:pt>
                <c:pt idx="819">
                  <c:v>36.63050000000122</c:v>
                </c:pt>
                <c:pt idx="820">
                  <c:v>36.630600000001223</c:v>
                </c:pt>
                <c:pt idx="821">
                  <c:v>36.630700000001227</c:v>
                </c:pt>
                <c:pt idx="822">
                  <c:v>36.63080000000123</c:v>
                </c:pt>
                <c:pt idx="823">
                  <c:v>36.630900000001233</c:v>
                </c:pt>
                <c:pt idx="824">
                  <c:v>36.631000000001237</c:v>
                </c:pt>
                <c:pt idx="825">
                  <c:v>36.63110000000124</c:v>
                </c:pt>
                <c:pt idx="826">
                  <c:v>36.631200000001243</c:v>
                </c:pt>
                <c:pt idx="827">
                  <c:v>36.631300000001247</c:v>
                </c:pt>
                <c:pt idx="828">
                  <c:v>36.63140000000125</c:v>
                </c:pt>
                <c:pt idx="829">
                  <c:v>36.631500000001253</c:v>
                </c:pt>
                <c:pt idx="830">
                  <c:v>36.631600000001256</c:v>
                </c:pt>
                <c:pt idx="831">
                  <c:v>36.63170000000126</c:v>
                </c:pt>
                <c:pt idx="832">
                  <c:v>36.631800000001263</c:v>
                </c:pt>
                <c:pt idx="833">
                  <c:v>36.631900000001266</c:v>
                </c:pt>
                <c:pt idx="834">
                  <c:v>36.63200000000127</c:v>
                </c:pt>
                <c:pt idx="835">
                  <c:v>36.632100000001273</c:v>
                </c:pt>
                <c:pt idx="836">
                  <c:v>36.632200000001276</c:v>
                </c:pt>
                <c:pt idx="837">
                  <c:v>36.63230000000128</c:v>
                </c:pt>
                <c:pt idx="838">
                  <c:v>36.632400000001283</c:v>
                </c:pt>
                <c:pt idx="839">
                  <c:v>36.632500000001286</c:v>
                </c:pt>
                <c:pt idx="840">
                  <c:v>36.63260000000129</c:v>
                </c:pt>
                <c:pt idx="841">
                  <c:v>36.632700000001293</c:v>
                </c:pt>
                <c:pt idx="842">
                  <c:v>36.632800000001296</c:v>
                </c:pt>
                <c:pt idx="843">
                  <c:v>36.6329000000013</c:v>
                </c:pt>
                <c:pt idx="844">
                  <c:v>36.633000000001303</c:v>
                </c:pt>
                <c:pt idx="845">
                  <c:v>36.633100000001306</c:v>
                </c:pt>
                <c:pt idx="846">
                  <c:v>36.63320000000131</c:v>
                </c:pt>
                <c:pt idx="847">
                  <c:v>36.633300000001313</c:v>
                </c:pt>
                <c:pt idx="848">
                  <c:v>36.633400000001316</c:v>
                </c:pt>
                <c:pt idx="849">
                  <c:v>36.63350000000132</c:v>
                </c:pt>
                <c:pt idx="850">
                  <c:v>36.633600000001323</c:v>
                </c:pt>
                <c:pt idx="851">
                  <c:v>36.633700000001326</c:v>
                </c:pt>
                <c:pt idx="852">
                  <c:v>36.63380000000133</c:v>
                </c:pt>
                <c:pt idx="853">
                  <c:v>36.633900000001333</c:v>
                </c:pt>
                <c:pt idx="854">
                  <c:v>36.634000000001336</c:v>
                </c:pt>
                <c:pt idx="855">
                  <c:v>36.634100000001339</c:v>
                </c:pt>
                <c:pt idx="856">
                  <c:v>36.634200000001343</c:v>
                </c:pt>
                <c:pt idx="857">
                  <c:v>36.634300000001346</c:v>
                </c:pt>
                <c:pt idx="858">
                  <c:v>36.634400000001349</c:v>
                </c:pt>
                <c:pt idx="859">
                  <c:v>36.634500000001353</c:v>
                </c:pt>
                <c:pt idx="860">
                  <c:v>36.634600000001356</c:v>
                </c:pt>
                <c:pt idx="861">
                  <c:v>36.634700000001359</c:v>
                </c:pt>
                <c:pt idx="862">
                  <c:v>36.634800000001363</c:v>
                </c:pt>
                <c:pt idx="863">
                  <c:v>36.634900000001366</c:v>
                </c:pt>
                <c:pt idx="864">
                  <c:v>36.635000000001369</c:v>
                </c:pt>
                <c:pt idx="865">
                  <c:v>36.635100000001373</c:v>
                </c:pt>
                <c:pt idx="866">
                  <c:v>36.635200000001376</c:v>
                </c:pt>
                <c:pt idx="867">
                  <c:v>36.635300000001379</c:v>
                </c:pt>
                <c:pt idx="868">
                  <c:v>36.635400000001383</c:v>
                </c:pt>
                <c:pt idx="869">
                  <c:v>36.635500000001386</c:v>
                </c:pt>
                <c:pt idx="870">
                  <c:v>36.635600000001389</c:v>
                </c:pt>
                <c:pt idx="871">
                  <c:v>36.635700000001393</c:v>
                </c:pt>
                <c:pt idx="872">
                  <c:v>36.635800000001396</c:v>
                </c:pt>
                <c:pt idx="873">
                  <c:v>36.635900000001399</c:v>
                </c:pt>
                <c:pt idx="874">
                  <c:v>36.636000000001403</c:v>
                </c:pt>
                <c:pt idx="875">
                  <c:v>36.636100000001406</c:v>
                </c:pt>
                <c:pt idx="876">
                  <c:v>36.636200000001409</c:v>
                </c:pt>
                <c:pt idx="877">
                  <c:v>36.636300000001413</c:v>
                </c:pt>
                <c:pt idx="878">
                  <c:v>36.636400000001416</c:v>
                </c:pt>
                <c:pt idx="879">
                  <c:v>36.636500000001419</c:v>
                </c:pt>
                <c:pt idx="880">
                  <c:v>36.636600000001422</c:v>
                </c:pt>
                <c:pt idx="881">
                  <c:v>36.636700000001426</c:v>
                </c:pt>
                <c:pt idx="882">
                  <c:v>36.636800000001429</c:v>
                </c:pt>
                <c:pt idx="883">
                  <c:v>36.636900000001432</c:v>
                </c:pt>
                <c:pt idx="884">
                  <c:v>36.637000000001436</c:v>
                </c:pt>
                <c:pt idx="885">
                  <c:v>36.637100000001439</c:v>
                </c:pt>
                <c:pt idx="886">
                  <c:v>36.637200000001442</c:v>
                </c:pt>
                <c:pt idx="887">
                  <c:v>36.637300000001446</c:v>
                </c:pt>
                <c:pt idx="888">
                  <c:v>36.637400000001449</c:v>
                </c:pt>
                <c:pt idx="889">
                  <c:v>36.637500000001452</c:v>
                </c:pt>
                <c:pt idx="890">
                  <c:v>36.637600000001456</c:v>
                </c:pt>
                <c:pt idx="891">
                  <c:v>36.637700000001459</c:v>
                </c:pt>
                <c:pt idx="892">
                  <c:v>36.637800000001462</c:v>
                </c:pt>
                <c:pt idx="893">
                  <c:v>36.637900000001466</c:v>
                </c:pt>
                <c:pt idx="894">
                  <c:v>36.638000000001469</c:v>
                </c:pt>
                <c:pt idx="895">
                  <c:v>36.638100000001472</c:v>
                </c:pt>
                <c:pt idx="896">
                  <c:v>36.638200000001476</c:v>
                </c:pt>
                <c:pt idx="897">
                  <c:v>36.638300000001479</c:v>
                </c:pt>
                <c:pt idx="898">
                  <c:v>36.638400000001482</c:v>
                </c:pt>
                <c:pt idx="899">
                  <c:v>36.638500000001486</c:v>
                </c:pt>
                <c:pt idx="900">
                  <c:v>36.638600000001489</c:v>
                </c:pt>
                <c:pt idx="901">
                  <c:v>36.638700000001492</c:v>
                </c:pt>
                <c:pt idx="902">
                  <c:v>36.638800000001496</c:v>
                </c:pt>
                <c:pt idx="903">
                  <c:v>36.638900000001499</c:v>
                </c:pt>
                <c:pt idx="904">
                  <c:v>36.639000000001502</c:v>
                </c:pt>
                <c:pt idx="905">
                  <c:v>36.639100000001505</c:v>
                </c:pt>
                <c:pt idx="906">
                  <c:v>36.639200000001509</c:v>
                </c:pt>
                <c:pt idx="907">
                  <c:v>36.639300000001512</c:v>
                </c:pt>
                <c:pt idx="908">
                  <c:v>36.639400000001515</c:v>
                </c:pt>
                <c:pt idx="909">
                  <c:v>36.639500000001519</c:v>
                </c:pt>
                <c:pt idx="910">
                  <c:v>36.639600000001522</c:v>
                </c:pt>
                <c:pt idx="911">
                  <c:v>36.639700000001525</c:v>
                </c:pt>
                <c:pt idx="912">
                  <c:v>36.639800000001529</c:v>
                </c:pt>
                <c:pt idx="913">
                  <c:v>36.639900000001532</c:v>
                </c:pt>
                <c:pt idx="914">
                  <c:v>36.640000000001535</c:v>
                </c:pt>
                <c:pt idx="915">
                  <c:v>36.640100000001539</c:v>
                </c:pt>
                <c:pt idx="916">
                  <c:v>36.640200000001542</c:v>
                </c:pt>
                <c:pt idx="917">
                  <c:v>36.640300000001545</c:v>
                </c:pt>
                <c:pt idx="918">
                  <c:v>36.640400000001549</c:v>
                </c:pt>
                <c:pt idx="919">
                  <c:v>36.640500000001552</c:v>
                </c:pt>
                <c:pt idx="920">
                  <c:v>36.640600000001555</c:v>
                </c:pt>
                <c:pt idx="921">
                  <c:v>36.640700000001559</c:v>
                </c:pt>
                <c:pt idx="922">
                  <c:v>36.640800000001562</c:v>
                </c:pt>
                <c:pt idx="923">
                  <c:v>36.640900000001565</c:v>
                </c:pt>
                <c:pt idx="924">
                  <c:v>36.641000000001569</c:v>
                </c:pt>
                <c:pt idx="925">
                  <c:v>36.641100000001572</c:v>
                </c:pt>
                <c:pt idx="926">
                  <c:v>36.641200000001575</c:v>
                </c:pt>
                <c:pt idx="927">
                  <c:v>36.641300000001578</c:v>
                </c:pt>
                <c:pt idx="928">
                  <c:v>36.641400000001582</c:v>
                </c:pt>
                <c:pt idx="929">
                  <c:v>36.641500000001585</c:v>
                </c:pt>
                <c:pt idx="930">
                  <c:v>36.641600000001588</c:v>
                </c:pt>
                <c:pt idx="931">
                  <c:v>36.641700000001592</c:v>
                </c:pt>
                <c:pt idx="932">
                  <c:v>36.641800000001595</c:v>
                </c:pt>
                <c:pt idx="933">
                  <c:v>36.641900000001598</c:v>
                </c:pt>
                <c:pt idx="934">
                  <c:v>36.642000000001602</c:v>
                </c:pt>
                <c:pt idx="935">
                  <c:v>36.642100000001605</c:v>
                </c:pt>
                <c:pt idx="936">
                  <c:v>36.642200000001608</c:v>
                </c:pt>
                <c:pt idx="937">
                  <c:v>36.642300000001612</c:v>
                </c:pt>
                <c:pt idx="938">
                  <c:v>36.642400000001615</c:v>
                </c:pt>
                <c:pt idx="939">
                  <c:v>36.642500000001618</c:v>
                </c:pt>
                <c:pt idx="940">
                  <c:v>36.642600000001622</c:v>
                </c:pt>
                <c:pt idx="941">
                  <c:v>36.642700000001625</c:v>
                </c:pt>
                <c:pt idx="942">
                  <c:v>36.642800000001628</c:v>
                </c:pt>
                <c:pt idx="943">
                  <c:v>36.642900000001632</c:v>
                </c:pt>
                <c:pt idx="944">
                  <c:v>36.643000000001635</c:v>
                </c:pt>
                <c:pt idx="945">
                  <c:v>36.643100000001638</c:v>
                </c:pt>
                <c:pt idx="946">
                  <c:v>36.643200000001642</c:v>
                </c:pt>
                <c:pt idx="947">
                  <c:v>36.643300000001645</c:v>
                </c:pt>
                <c:pt idx="948">
                  <c:v>36.643400000001648</c:v>
                </c:pt>
                <c:pt idx="949">
                  <c:v>36.643500000001652</c:v>
                </c:pt>
                <c:pt idx="950">
                  <c:v>36.643600000001655</c:v>
                </c:pt>
                <c:pt idx="951">
                  <c:v>36.643700000001658</c:v>
                </c:pt>
                <c:pt idx="952">
                  <c:v>36.643800000001661</c:v>
                </c:pt>
                <c:pt idx="953">
                  <c:v>36.643900000001665</c:v>
                </c:pt>
                <c:pt idx="954">
                  <c:v>36.644000000001668</c:v>
                </c:pt>
                <c:pt idx="955">
                  <c:v>36.644100000001671</c:v>
                </c:pt>
                <c:pt idx="956">
                  <c:v>36.644200000001675</c:v>
                </c:pt>
                <c:pt idx="957">
                  <c:v>36.644300000001678</c:v>
                </c:pt>
                <c:pt idx="958">
                  <c:v>36.644400000001681</c:v>
                </c:pt>
                <c:pt idx="959">
                  <c:v>36.644500000001685</c:v>
                </c:pt>
                <c:pt idx="960">
                  <c:v>36.644600000001688</c:v>
                </c:pt>
                <c:pt idx="961">
                  <c:v>36.644700000001691</c:v>
                </c:pt>
                <c:pt idx="962">
                  <c:v>36.644800000001695</c:v>
                </c:pt>
                <c:pt idx="963">
                  <c:v>36.644900000001698</c:v>
                </c:pt>
                <c:pt idx="964">
                  <c:v>36.645000000001701</c:v>
                </c:pt>
                <c:pt idx="965">
                  <c:v>36.645100000001705</c:v>
                </c:pt>
                <c:pt idx="966">
                  <c:v>36.645200000001708</c:v>
                </c:pt>
                <c:pt idx="967">
                  <c:v>36.645300000001711</c:v>
                </c:pt>
                <c:pt idx="968">
                  <c:v>36.645400000001715</c:v>
                </c:pt>
                <c:pt idx="969">
                  <c:v>36.645500000001718</c:v>
                </c:pt>
                <c:pt idx="970">
                  <c:v>36.645600000001721</c:v>
                </c:pt>
                <c:pt idx="971">
                  <c:v>36.645700000001725</c:v>
                </c:pt>
                <c:pt idx="972">
                  <c:v>36.645800000001728</c:v>
                </c:pt>
                <c:pt idx="973">
                  <c:v>36.645900000001731</c:v>
                </c:pt>
                <c:pt idx="974">
                  <c:v>36.646000000001735</c:v>
                </c:pt>
                <c:pt idx="975">
                  <c:v>36.646100000001738</c:v>
                </c:pt>
                <c:pt idx="976">
                  <c:v>36.646200000001741</c:v>
                </c:pt>
                <c:pt idx="977">
                  <c:v>36.646300000001744</c:v>
                </c:pt>
                <c:pt idx="978">
                  <c:v>36.646400000001748</c:v>
                </c:pt>
                <c:pt idx="979">
                  <c:v>36.646500000001751</c:v>
                </c:pt>
                <c:pt idx="980">
                  <c:v>36.646600000001754</c:v>
                </c:pt>
                <c:pt idx="981">
                  <c:v>36.646700000001758</c:v>
                </c:pt>
                <c:pt idx="982">
                  <c:v>36.646800000001761</c:v>
                </c:pt>
                <c:pt idx="983">
                  <c:v>36.646900000001764</c:v>
                </c:pt>
                <c:pt idx="984">
                  <c:v>36.647000000001768</c:v>
                </c:pt>
                <c:pt idx="985">
                  <c:v>36.647100000001771</c:v>
                </c:pt>
                <c:pt idx="986">
                  <c:v>36.647200000001774</c:v>
                </c:pt>
                <c:pt idx="987">
                  <c:v>36.647300000001778</c:v>
                </c:pt>
                <c:pt idx="988">
                  <c:v>36.647400000001781</c:v>
                </c:pt>
                <c:pt idx="989">
                  <c:v>36.647500000001784</c:v>
                </c:pt>
                <c:pt idx="990">
                  <c:v>36.647600000001788</c:v>
                </c:pt>
                <c:pt idx="991">
                  <c:v>36.647700000001791</c:v>
                </c:pt>
                <c:pt idx="992">
                  <c:v>36.647800000001794</c:v>
                </c:pt>
                <c:pt idx="993">
                  <c:v>36.647900000001798</c:v>
                </c:pt>
                <c:pt idx="994">
                  <c:v>36.648000000001801</c:v>
                </c:pt>
                <c:pt idx="995">
                  <c:v>36.648100000001804</c:v>
                </c:pt>
                <c:pt idx="996">
                  <c:v>36.648200000001808</c:v>
                </c:pt>
                <c:pt idx="997">
                  <c:v>36.648300000001811</c:v>
                </c:pt>
                <c:pt idx="998">
                  <c:v>36.648400000001814</c:v>
                </c:pt>
                <c:pt idx="999">
                  <c:v>36.648500000001818</c:v>
                </c:pt>
                <c:pt idx="1000">
                  <c:v>36.648600000001821</c:v>
                </c:pt>
              </c:numCache>
            </c:numRef>
          </c:xVal>
          <c:yVal>
            <c:numRef>
              <c:f>Calculs!$T$4:$T$1004</c:f>
              <c:numCache>
                <c:formatCode>0.00</c:formatCode>
                <c:ptCount val="1001"/>
                <c:pt idx="0">
                  <c:v>27.025569000000001</c:v>
                </c:pt>
                <c:pt idx="1">
                  <c:v>27.022314840353836</c:v>
                </c:pt>
                <c:pt idx="2">
                  <c:v>27.012552361415334</c:v>
                </c:pt>
                <c:pt idx="3">
                  <c:v>27.000056388374052</c:v>
                </c:pt>
                <c:pt idx="4">
                  <c:v>26.988601746419544</c:v>
                </c:pt>
                <c:pt idx="5">
                  <c:v>26.977690212488746</c:v>
                </c:pt>
                <c:pt idx="6">
                  <c:v>26.966823563518577</c:v>
                </c:pt>
                <c:pt idx="7">
                  <c:v>26.95600179950905</c:v>
                </c:pt>
                <c:pt idx="8">
                  <c:v>26.945224920460156</c:v>
                </c:pt>
                <c:pt idx="9">
                  <c:v>26.934492926371899</c:v>
                </c:pt>
                <c:pt idx="10">
                  <c:v>26.923805817244279</c:v>
                </c:pt>
                <c:pt idx="11">
                  <c:v>26.9131635930773</c:v>
                </c:pt>
                <c:pt idx="12">
                  <c:v>26.902566253870951</c:v>
                </c:pt>
                <c:pt idx="13">
                  <c:v>26.892013799625246</c:v>
                </c:pt>
                <c:pt idx="14">
                  <c:v>26.881506230340172</c:v>
                </c:pt>
                <c:pt idx="15">
                  <c:v>26.871043546015738</c:v>
                </c:pt>
                <c:pt idx="16">
                  <c:v>26.860625746651937</c:v>
                </c:pt>
                <c:pt idx="17">
                  <c:v>26.850252832248778</c:v>
                </c:pt>
                <c:pt idx="18">
                  <c:v>26.839924802806252</c:v>
                </c:pt>
                <c:pt idx="19">
                  <c:v>26.829641658324366</c:v>
                </c:pt>
                <c:pt idx="20">
                  <c:v>26.819403398803111</c:v>
                </c:pt>
                <c:pt idx="21">
                  <c:v>26.8092100242425</c:v>
                </c:pt>
                <c:pt idx="22">
                  <c:v>26.799061534642522</c:v>
                </c:pt>
                <c:pt idx="23">
                  <c:v>26.788957930003185</c:v>
                </c:pt>
                <c:pt idx="24">
                  <c:v>26.778899210324482</c:v>
                </c:pt>
                <c:pt idx="25">
                  <c:v>26.768885375606416</c:v>
                </c:pt>
                <c:pt idx="26">
                  <c:v>26.758916425848987</c:v>
                </c:pt>
                <c:pt idx="27">
                  <c:v>26.748992361052196</c:v>
                </c:pt>
                <c:pt idx="28">
                  <c:v>26.739113181216041</c:v>
                </c:pt>
                <c:pt idx="29">
                  <c:v>26.729278886340524</c:v>
                </c:pt>
                <c:pt idx="30">
                  <c:v>26.719489476425643</c:v>
                </c:pt>
                <c:pt idx="31">
                  <c:v>26.709744951471396</c:v>
                </c:pt>
                <c:pt idx="32">
                  <c:v>26.700045311477787</c:v>
                </c:pt>
                <c:pt idx="33">
                  <c:v>26.690390556444815</c:v>
                </c:pt>
                <c:pt idx="34">
                  <c:v>26.680780686372483</c:v>
                </c:pt>
                <c:pt idx="35">
                  <c:v>26.671215701260785</c:v>
                </c:pt>
                <c:pt idx="36">
                  <c:v>26.661695601109724</c:v>
                </c:pt>
                <c:pt idx="37">
                  <c:v>26.6522203859193</c:v>
                </c:pt>
                <c:pt idx="38">
                  <c:v>26.642790055689513</c:v>
                </c:pt>
                <c:pt idx="39">
                  <c:v>26.63340461042036</c:v>
                </c:pt>
                <c:pt idx="40">
                  <c:v>26.624064050111848</c:v>
                </c:pt>
                <c:pt idx="41">
                  <c:v>26.614768374763969</c:v>
                </c:pt>
                <c:pt idx="42">
                  <c:v>26.605517584376731</c:v>
                </c:pt>
                <c:pt idx="43">
                  <c:v>26.596311678950123</c:v>
                </c:pt>
                <c:pt idx="44">
                  <c:v>26.587150658484159</c:v>
                </c:pt>
                <c:pt idx="45">
                  <c:v>26.578034522978829</c:v>
                </c:pt>
                <c:pt idx="46">
                  <c:v>26.568963272434136</c:v>
                </c:pt>
                <c:pt idx="47">
                  <c:v>26.559936906850076</c:v>
                </c:pt>
                <c:pt idx="48">
                  <c:v>26.550955426226658</c:v>
                </c:pt>
                <c:pt idx="49">
                  <c:v>26.542018830563872</c:v>
                </c:pt>
                <c:pt idx="50">
                  <c:v>26.533127119861728</c:v>
                </c:pt>
                <c:pt idx="51">
                  <c:v>26.524280294120217</c:v>
                </c:pt>
                <c:pt idx="52">
                  <c:v>26.515478353339347</c:v>
                </c:pt>
                <c:pt idx="53">
                  <c:v>26.506721297519107</c:v>
                </c:pt>
                <c:pt idx="54">
                  <c:v>26.498009126659511</c:v>
                </c:pt>
                <c:pt idx="55">
                  <c:v>26.489341840760545</c:v>
                </c:pt>
                <c:pt idx="56">
                  <c:v>26.48071943982222</c:v>
                </c:pt>
                <c:pt idx="57">
                  <c:v>26.472141923844532</c:v>
                </c:pt>
                <c:pt idx="58">
                  <c:v>26.463609292827481</c:v>
                </c:pt>
                <c:pt idx="59">
                  <c:v>26.455121546771064</c:v>
                </c:pt>
                <c:pt idx="60">
                  <c:v>26.446678685675288</c:v>
                </c:pt>
                <c:pt idx="61">
                  <c:v>26.438280709540141</c:v>
                </c:pt>
                <c:pt idx="62">
                  <c:v>26.429927618365639</c:v>
                </c:pt>
                <c:pt idx="63">
                  <c:v>26.421662052864377</c:v>
                </c:pt>
                <c:pt idx="64">
                  <c:v>26.41352665374896</c:v>
                </c:pt>
                <c:pt idx="65">
                  <c:v>26.40552142101939</c:v>
                </c:pt>
                <c:pt idx="66">
                  <c:v>26.397646354675665</c:v>
                </c:pt>
                <c:pt idx="67">
                  <c:v>26.38994050463354</c:v>
                </c:pt>
                <c:pt idx="68">
                  <c:v>26.382442920808771</c:v>
                </c:pt>
                <c:pt idx="69">
                  <c:v>26.375223025273808</c:v>
                </c:pt>
                <c:pt idx="70">
                  <c:v>26.368350240101105</c:v>
                </c:pt>
                <c:pt idx="71">
                  <c:v>26.361824565290657</c:v>
                </c:pt>
                <c:pt idx="72">
                  <c:v>26.355646000842466</c:v>
                </c:pt>
                <c:pt idx="73">
                  <c:v>26.349814546756534</c:v>
                </c:pt>
                <c:pt idx="74">
                  <c:v>26.344330203032861</c:v>
                </c:pt>
                <c:pt idx="75">
                  <c:v>26.339192969671444</c:v>
                </c:pt>
                <c:pt idx="76">
                  <c:v>26.334402846672283</c:v>
                </c:pt>
                <c:pt idx="77">
                  <c:v>26.329959834035382</c:v>
                </c:pt>
                <c:pt idx="78">
                  <c:v>26.32586393176074</c:v>
                </c:pt>
                <c:pt idx="79">
                  <c:v>26.32211513984835</c:v>
                </c:pt>
                <c:pt idx="80">
                  <c:v>26.318713458298223</c:v>
                </c:pt>
                <c:pt idx="81">
                  <c:v>26.315576448399316</c:v>
                </c:pt>
                <c:pt idx="82">
                  <c:v>26.312621671440596</c:v>
                </c:pt>
                <c:pt idx="83">
                  <c:v>26.309849127422062</c:v>
                </c:pt>
                <c:pt idx="84">
                  <c:v>26.307258816343712</c:v>
                </c:pt>
                <c:pt idx="85">
                  <c:v>26.304850738205552</c:v>
                </c:pt>
                <c:pt idx="86">
                  <c:v>26.302624893007572</c:v>
                </c:pt>
                <c:pt idx="87">
                  <c:v>26.300581280749778</c:v>
                </c:pt>
                <c:pt idx="88">
                  <c:v>26.298719901432172</c:v>
                </c:pt>
                <c:pt idx="89">
                  <c:v>26.297014721777579</c:v>
                </c:pt>
                <c:pt idx="90">
                  <c:v>26.295439708508834</c:v>
                </c:pt>
                <c:pt idx="91">
                  <c:v>26.293994861625936</c:v>
                </c:pt>
                <c:pt idx="92">
                  <c:v>26.292680181128883</c:v>
                </c:pt>
                <c:pt idx="93">
                  <c:v>26.291489158698386</c:v>
                </c:pt>
                <c:pt idx="94">
                  <c:v>26.290415286015154</c:v>
                </c:pt>
                <c:pt idx="95">
                  <c:v>26.289458563079179</c:v>
                </c:pt>
                <c:pt idx="96">
                  <c:v>26.28861898989047</c:v>
                </c:pt>
                <c:pt idx="97">
                  <c:v>26.287870533171855</c:v>
                </c:pt>
                <c:pt idx="98">
                  <c:v>26.287187159646155</c:v>
                </c:pt>
                <c:pt idx="99">
                  <c:v>26.286568869313385</c:v>
                </c:pt>
                <c:pt idx="100">
                  <c:v>26.28601566217354</c:v>
                </c:pt>
                <c:pt idx="101">
                  <c:v>26.285527538226614</c:v>
                </c:pt>
                <c:pt idx="102">
                  <c:v>26.285104497472609</c:v>
                </c:pt>
                <c:pt idx="103">
                  <c:v>26.284746539911531</c:v>
                </c:pt>
                <c:pt idx="104">
                  <c:v>26.284453665543374</c:v>
                </c:pt>
                <c:pt idx="105">
                  <c:v>26.284225874368143</c:v>
                </c:pt>
                <c:pt idx="106">
                  <c:v>26.284063166385835</c:v>
                </c:pt>
                <c:pt idx="107">
                  <c:v>26.283965541596448</c:v>
                </c:pt>
                <c:pt idx="108">
                  <c:v>26.283932999999987</c:v>
                </c:pt>
                <c:pt idx="109">
                  <c:v>26.283932999999987</c:v>
                </c:pt>
                <c:pt idx="110">
                  <c:v>26.283932999999987</c:v>
                </c:pt>
                <c:pt idx="111">
                  <c:v>26.283932999999987</c:v>
                </c:pt>
                <c:pt idx="112">
                  <c:v>26.283932999999987</c:v>
                </c:pt>
                <c:pt idx="113">
                  <c:v>26.283932999999987</c:v>
                </c:pt>
                <c:pt idx="114">
                  <c:v>26.283932999999987</c:v>
                </c:pt>
                <c:pt idx="115">
                  <c:v>26.283932999999987</c:v>
                </c:pt>
                <c:pt idx="116">
                  <c:v>26.283932999999987</c:v>
                </c:pt>
                <c:pt idx="117">
                  <c:v>26.283932999999987</c:v>
                </c:pt>
                <c:pt idx="118">
                  <c:v>26.283932999999987</c:v>
                </c:pt>
                <c:pt idx="119">
                  <c:v>26.283932999999987</c:v>
                </c:pt>
                <c:pt idx="120">
                  <c:v>26.283932999999987</c:v>
                </c:pt>
                <c:pt idx="121">
                  <c:v>26.283932999999987</c:v>
                </c:pt>
                <c:pt idx="122">
                  <c:v>26.283932999999987</c:v>
                </c:pt>
                <c:pt idx="123">
                  <c:v>26.283932999999987</c:v>
                </c:pt>
                <c:pt idx="124">
                  <c:v>26.283932999999987</c:v>
                </c:pt>
                <c:pt idx="125">
                  <c:v>26.283932999999987</c:v>
                </c:pt>
                <c:pt idx="126">
                  <c:v>26.283932999999987</c:v>
                </c:pt>
                <c:pt idx="127">
                  <c:v>26.283932999999987</c:v>
                </c:pt>
                <c:pt idx="128">
                  <c:v>26.283932999999987</c:v>
                </c:pt>
                <c:pt idx="129">
                  <c:v>26.283932999999987</c:v>
                </c:pt>
                <c:pt idx="130">
                  <c:v>26.283932999999987</c:v>
                </c:pt>
                <c:pt idx="131">
                  <c:v>26.283932999999987</c:v>
                </c:pt>
                <c:pt idx="132">
                  <c:v>26.283932999999987</c:v>
                </c:pt>
                <c:pt idx="133">
                  <c:v>26.283932999999987</c:v>
                </c:pt>
                <c:pt idx="134">
                  <c:v>26.283932999999987</c:v>
                </c:pt>
                <c:pt idx="135">
                  <c:v>26.283932999999987</c:v>
                </c:pt>
                <c:pt idx="136">
                  <c:v>26.283932999999987</c:v>
                </c:pt>
                <c:pt idx="137">
                  <c:v>26.283932999999987</c:v>
                </c:pt>
                <c:pt idx="138">
                  <c:v>26.283932999999987</c:v>
                </c:pt>
                <c:pt idx="139">
                  <c:v>26.283932999999987</c:v>
                </c:pt>
                <c:pt idx="140">
                  <c:v>26.283932999999987</c:v>
                </c:pt>
                <c:pt idx="141">
                  <c:v>26.283932999999987</c:v>
                </c:pt>
                <c:pt idx="142">
                  <c:v>26.283932999999987</c:v>
                </c:pt>
                <c:pt idx="143">
                  <c:v>26.283932999999987</c:v>
                </c:pt>
                <c:pt idx="144">
                  <c:v>26.283932999999987</c:v>
                </c:pt>
                <c:pt idx="145">
                  <c:v>26.283932999999987</c:v>
                </c:pt>
                <c:pt idx="146">
                  <c:v>26.283932999999987</c:v>
                </c:pt>
                <c:pt idx="147">
                  <c:v>26.283932999999987</c:v>
                </c:pt>
                <c:pt idx="148">
                  <c:v>26.283932999999987</c:v>
                </c:pt>
                <c:pt idx="149">
                  <c:v>26.283932999999987</c:v>
                </c:pt>
                <c:pt idx="150">
                  <c:v>26.283932999999987</c:v>
                </c:pt>
                <c:pt idx="151">
                  <c:v>26.283932999999987</c:v>
                </c:pt>
                <c:pt idx="152">
                  <c:v>26.283932999999987</c:v>
                </c:pt>
                <c:pt idx="153">
                  <c:v>26.283932999999987</c:v>
                </c:pt>
                <c:pt idx="154">
                  <c:v>26.283932999999987</c:v>
                </c:pt>
                <c:pt idx="155">
                  <c:v>26.283932999999987</c:v>
                </c:pt>
                <c:pt idx="156">
                  <c:v>26.283932999999987</c:v>
                </c:pt>
                <c:pt idx="157">
                  <c:v>26.283932999999987</c:v>
                </c:pt>
                <c:pt idx="158">
                  <c:v>26.283932999999987</c:v>
                </c:pt>
                <c:pt idx="159">
                  <c:v>26.283932999999987</c:v>
                </c:pt>
                <c:pt idx="160">
                  <c:v>26.283932999999987</c:v>
                </c:pt>
                <c:pt idx="161">
                  <c:v>26.283932999999987</c:v>
                </c:pt>
                <c:pt idx="162">
                  <c:v>26.283932999999987</c:v>
                </c:pt>
                <c:pt idx="163">
                  <c:v>26.283932999999987</c:v>
                </c:pt>
                <c:pt idx="164">
                  <c:v>26.283932999999987</c:v>
                </c:pt>
                <c:pt idx="165">
                  <c:v>26.283932999999987</c:v>
                </c:pt>
                <c:pt idx="166">
                  <c:v>26.283932999999987</c:v>
                </c:pt>
                <c:pt idx="167">
                  <c:v>26.283932999999987</c:v>
                </c:pt>
                <c:pt idx="168">
                  <c:v>26.283932999999987</c:v>
                </c:pt>
                <c:pt idx="169">
                  <c:v>26.283932999999987</c:v>
                </c:pt>
                <c:pt idx="170">
                  <c:v>26.283932999999987</c:v>
                </c:pt>
                <c:pt idx="171">
                  <c:v>26.283932999999987</c:v>
                </c:pt>
                <c:pt idx="172">
                  <c:v>26.283932999999987</c:v>
                </c:pt>
                <c:pt idx="173">
                  <c:v>26.283932999999987</c:v>
                </c:pt>
                <c:pt idx="174">
                  <c:v>26.283932999999987</c:v>
                </c:pt>
                <c:pt idx="175">
                  <c:v>26.283932999999987</c:v>
                </c:pt>
                <c:pt idx="176">
                  <c:v>26.283932999999987</c:v>
                </c:pt>
                <c:pt idx="177">
                  <c:v>26.283932999999987</c:v>
                </c:pt>
                <c:pt idx="178">
                  <c:v>26.283932999999987</c:v>
                </c:pt>
                <c:pt idx="179">
                  <c:v>26.283932999999987</c:v>
                </c:pt>
                <c:pt idx="180">
                  <c:v>26.283932999999987</c:v>
                </c:pt>
                <c:pt idx="181">
                  <c:v>26.283932999999987</c:v>
                </c:pt>
                <c:pt idx="182">
                  <c:v>26.283932999999987</c:v>
                </c:pt>
                <c:pt idx="183">
                  <c:v>26.283932999999987</c:v>
                </c:pt>
                <c:pt idx="184">
                  <c:v>26.283932999999987</c:v>
                </c:pt>
                <c:pt idx="185">
                  <c:v>26.283932999999987</c:v>
                </c:pt>
                <c:pt idx="186">
                  <c:v>26.283932999999987</c:v>
                </c:pt>
                <c:pt idx="187">
                  <c:v>26.283932999999987</c:v>
                </c:pt>
                <c:pt idx="188">
                  <c:v>26.283932999999987</c:v>
                </c:pt>
                <c:pt idx="189">
                  <c:v>26.283932999999987</c:v>
                </c:pt>
                <c:pt idx="190">
                  <c:v>26.283932999999987</c:v>
                </c:pt>
                <c:pt idx="191">
                  <c:v>26.283932999999987</c:v>
                </c:pt>
                <c:pt idx="192">
                  <c:v>26.283932999999987</c:v>
                </c:pt>
                <c:pt idx="193">
                  <c:v>26.283932999999987</c:v>
                </c:pt>
                <c:pt idx="194">
                  <c:v>26.283932999999987</c:v>
                </c:pt>
                <c:pt idx="195">
                  <c:v>26.283932999999987</c:v>
                </c:pt>
                <c:pt idx="196">
                  <c:v>26.283932999999987</c:v>
                </c:pt>
                <c:pt idx="197">
                  <c:v>26.283932999999987</c:v>
                </c:pt>
                <c:pt idx="198">
                  <c:v>26.283932999999987</c:v>
                </c:pt>
                <c:pt idx="199">
                  <c:v>26.283932999999987</c:v>
                </c:pt>
                <c:pt idx="200">
                  <c:v>26.283932999999987</c:v>
                </c:pt>
                <c:pt idx="201">
                  <c:v>26.283932999999987</c:v>
                </c:pt>
                <c:pt idx="202">
                  <c:v>26.283932999999987</c:v>
                </c:pt>
                <c:pt idx="203">
                  <c:v>26.283932999999987</c:v>
                </c:pt>
                <c:pt idx="204">
                  <c:v>26.283932999999987</c:v>
                </c:pt>
                <c:pt idx="205">
                  <c:v>26.283932999999987</c:v>
                </c:pt>
                <c:pt idx="206">
                  <c:v>26.283932999999987</c:v>
                </c:pt>
                <c:pt idx="207">
                  <c:v>26.283932999999987</c:v>
                </c:pt>
                <c:pt idx="208">
                  <c:v>26.283932999999987</c:v>
                </c:pt>
                <c:pt idx="209">
                  <c:v>26.283932999999987</c:v>
                </c:pt>
                <c:pt idx="210">
                  <c:v>26.283932999999987</c:v>
                </c:pt>
                <c:pt idx="211">
                  <c:v>26.283932999999987</c:v>
                </c:pt>
                <c:pt idx="212">
                  <c:v>26.283932999999987</c:v>
                </c:pt>
                <c:pt idx="213">
                  <c:v>26.283932999999987</c:v>
                </c:pt>
                <c:pt idx="214">
                  <c:v>26.283932999999987</c:v>
                </c:pt>
                <c:pt idx="215">
                  <c:v>26.283932999999987</c:v>
                </c:pt>
                <c:pt idx="216">
                  <c:v>26.283932999999987</c:v>
                </c:pt>
                <c:pt idx="217">
                  <c:v>26.283932999999987</c:v>
                </c:pt>
                <c:pt idx="218">
                  <c:v>26.283932999999987</c:v>
                </c:pt>
                <c:pt idx="219">
                  <c:v>26.283932999999987</c:v>
                </c:pt>
                <c:pt idx="220">
                  <c:v>26.283932999999987</c:v>
                </c:pt>
                <c:pt idx="221">
                  <c:v>26.283932999999987</c:v>
                </c:pt>
                <c:pt idx="222">
                  <c:v>26.283932999999987</c:v>
                </c:pt>
                <c:pt idx="223">
                  <c:v>26.283932999999987</c:v>
                </c:pt>
                <c:pt idx="224">
                  <c:v>26.283932999999987</c:v>
                </c:pt>
                <c:pt idx="225">
                  <c:v>26.283932999999987</c:v>
                </c:pt>
                <c:pt idx="226">
                  <c:v>26.283932999999987</c:v>
                </c:pt>
                <c:pt idx="227">
                  <c:v>26.283932999999987</c:v>
                </c:pt>
                <c:pt idx="228">
                  <c:v>26.283932999999987</c:v>
                </c:pt>
                <c:pt idx="229">
                  <c:v>26.283932999999987</c:v>
                </c:pt>
                <c:pt idx="230">
                  <c:v>26.283932999999987</c:v>
                </c:pt>
                <c:pt idx="231">
                  <c:v>26.283932999999987</c:v>
                </c:pt>
                <c:pt idx="232">
                  <c:v>26.283932999999987</c:v>
                </c:pt>
                <c:pt idx="233">
                  <c:v>26.283932999999987</c:v>
                </c:pt>
                <c:pt idx="234">
                  <c:v>26.283932999999987</c:v>
                </c:pt>
                <c:pt idx="235">
                  <c:v>26.283932999999987</c:v>
                </c:pt>
                <c:pt idx="236">
                  <c:v>26.283932999999987</c:v>
                </c:pt>
                <c:pt idx="237">
                  <c:v>26.283932999999987</c:v>
                </c:pt>
                <c:pt idx="238">
                  <c:v>26.283932999999987</c:v>
                </c:pt>
                <c:pt idx="239">
                  <c:v>26.283932999999987</c:v>
                </c:pt>
                <c:pt idx="240">
                  <c:v>26.283932999999987</c:v>
                </c:pt>
                <c:pt idx="241">
                  <c:v>26.283932999999987</c:v>
                </c:pt>
                <c:pt idx="242">
                  <c:v>26.283932999999987</c:v>
                </c:pt>
                <c:pt idx="243">
                  <c:v>26.283932999999987</c:v>
                </c:pt>
                <c:pt idx="244">
                  <c:v>26.283932999999987</c:v>
                </c:pt>
                <c:pt idx="245">
                  <c:v>26.283932999999987</c:v>
                </c:pt>
                <c:pt idx="246">
                  <c:v>26.283932999999987</c:v>
                </c:pt>
                <c:pt idx="247">
                  <c:v>26.283932999999987</c:v>
                </c:pt>
                <c:pt idx="248">
                  <c:v>26.283932999999987</c:v>
                </c:pt>
                <c:pt idx="249">
                  <c:v>26.283932999999987</c:v>
                </c:pt>
                <c:pt idx="250">
                  <c:v>26.283932999999987</c:v>
                </c:pt>
                <c:pt idx="251">
                  <c:v>26.283932999999987</c:v>
                </c:pt>
                <c:pt idx="252">
                  <c:v>26.283932999999987</c:v>
                </c:pt>
                <c:pt idx="253">
                  <c:v>26.283932999999987</c:v>
                </c:pt>
                <c:pt idx="254">
                  <c:v>26.283932999999987</c:v>
                </c:pt>
                <c:pt idx="255">
                  <c:v>26.283932999999987</c:v>
                </c:pt>
                <c:pt idx="256">
                  <c:v>26.283932999999987</c:v>
                </c:pt>
                <c:pt idx="257">
                  <c:v>26.283932999999987</c:v>
                </c:pt>
                <c:pt idx="258">
                  <c:v>26.283932999999987</c:v>
                </c:pt>
                <c:pt idx="259">
                  <c:v>26.283932999999987</c:v>
                </c:pt>
                <c:pt idx="260">
                  <c:v>26.283932999999987</c:v>
                </c:pt>
                <c:pt idx="261">
                  <c:v>26.283932999999987</c:v>
                </c:pt>
                <c:pt idx="262">
                  <c:v>26.283932999999987</c:v>
                </c:pt>
                <c:pt idx="263">
                  <c:v>26.283932999999987</c:v>
                </c:pt>
                <c:pt idx="264">
                  <c:v>26.283932999999987</c:v>
                </c:pt>
                <c:pt idx="265">
                  <c:v>26.283932999999987</c:v>
                </c:pt>
                <c:pt idx="266">
                  <c:v>26.283932999999987</c:v>
                </c:pt>
                <c:pt idx="267">
                  <c:v>26.283932999999987</c:v>
                </c:pt>
                <c:pt idx="268">
                  <c:v>26.283932999999987</c:v>
                </c:pt>
                <c:pt idx="269">
                  <c:v>26.283932999999987</c:v>
                </c:pt>
                <c:pt idx="270">
                  <c:v>26.283932999999987</c:v>
                </c:pt>
                <c:pt idx="271">
                  <c:v>26.283932999999987</c:v>
                </c:pt>
                <c:pt idx="272">
                  <c:v>26.283932999999987</c:v>
                </c:pt>
                <c:pt idx="273">
                  <c:v>26.283932999999987</c:v>
                </c:pt>
                <c:pt idx="274">
                  <c:v>26.283932999999987</c:v>
                </c:pt>
                <c:pt idx="275">
                  <c:v>26.283932999999987</c:v>
                </c:pt>
                <c:pt idx="276">
                  <c:v>26.283932999999987</c:v>
                </c:pt>
                <c:pt idx="277">
                  <c:v>26.283932999999987</c:v>
                </c:pt>
                <c:pt idx="278">
                  <c:v>26.283932999999987</c:v>
                </c:pt>
                <c:pt idx="279">
                  <c:v>26.283932999999987</c:v>
                </c:pt>
                <c:pt idx="280">
                  <c:v>26.283932999999987</c:v>
                </c:pt>
                <c:pt idx="281">
                  <c:v>26.283932999999987</c:v>
                </c:pt>
                <c:pt idx="282">
                  <c:v>26.283932999999987</c:v>
                </c:pt>
                <c:pt idx="283">
                  <c:v>26.283932999999987</c:v>
                </c:pt>
                <c:pt idx="284">
                  <c:v>26.283932999999987</c:v>
                </c:pt>
                <c:pt idx="285">
                  <c:v>26.283932999999987</c:v>
                </c:pt>
                <c:pt idx="286">
                  <c:v>26.283932999999987</c:v>
                </c:pt>
                <c:pt idx="287">
                  <c:v>26.283932999999987</c:v>
                </c:pt>
                <c:pt idx="288">
                  <c:v>26.283932999999987</c:v>
                </c:pt>
                <c:pt idx="289">
                  <c:v>26.283932999999987</c:v>
                </c:pt>
                <c:pt idx="290">
                  <c:v>26.283932999999987</c:v>
                </c:pt>
                <c:pt idx="291">
                  <c:v>26.283932999999987</c:v>
                </c:pt>
                <c:pt idx="292">
                  <c:v>26.283932999999987</c:v>
                </c:pt>
                <c:pt idx="293">
                  <c:v>26.283932999999987</c:v>
                </c:pt>
                <c:pt idx="294">
                  <c:v>26.283932999999987</c:v>
                </c:pt>
                <c:pt idx="295">
                  <c:v>26.283932999999987</c:v>
                </c:pt>
                <c:pt idx="296">
                  <c:v>26.283932999999987</c:v>
                </c:pt>
                <c:pt idx="297">
                  <c:v>26.283932999999987</c:v>
                </c:pt>
                <c:pt idx="298">
                  <c:v>26.283932999999987</c:v>
                </c:pt>
                <c:pt idx="299">
                  <c:v>26.283932999999987</c:v>
                </c:pt>
                <c:pt idx="300">
                  <c:v>26.283932999999987</c:v>
                </c:pt>
                <c:pt idx="301">
                  <c:v>26.283932999999987</c:v>
                </c:pt>
                <c:pt idx="302">
                  <c:v>26.283932999999987</c:v>
                </c:pt>
                <c:pt idx="303">
                  <c:v>26.283932999999987</c:v>
                </c:pt>
                <c:pt idx="304">
                  <c:v>26.283932999999987</c:v>
                </c:pt>
                <c:pt idx="305">
                  <c:v>26.283932999999987</c:v>
                </c:pt>
                <c:pt idx="306">
                  <c:v>26.283932999999987</c:v>
                </c:pt>
                <c:pt idx="307">
                  <c:v>26.283932999999987</c:v>
                </c:pt>
                <c:pt idx="308">
                  <c:v>26.283932999999987</c:v>
                </c:pt>
                <c:pt idx="309">
                  <c:v>26.283932999999987</c:v>
                </c:pt>
                <c:pt idx="310">
                  <c:v>26.283932999999987</c:v>
                </c:pt>
                <c:pt idx="311">
                  <c:v>26.283932999999987</c:v>
                </c:pt>
                <c:pt idx="312">
                  <c:v>26.283932999999987</c:v>
                </c:pt>
                <c:pt idx="313">
                  <c:v>26.283932999999987</c:v>
                </c:pt>
                <c:pt idx="314">
                  <c:v>26.283932999999987</c:v>
                </c:pt>
                <c:pt idx="315">
                  <c:v>26.283932999999987</c:v>
                </c:pt>
                <c:pt idx="316">
                  <c:v>26.283932999999987</c:v>
                </c:pt>
                <c:pt idx="317">
                  <c:v>26.283932999999987</c:v>
                </c:pt>
                <c:pt idx="318">
                  <c:v>26.283932999999987</c:v>
                </c:pt>
                <c:pt idx="319">
                  <c:v>26.283932999999987</c:v>
                </c:pt>
                <c:pt idx="320">
                  <c:v>26.283932999999987</c:v>
                </c:pt>
                <c:pt idx="321">
                  <c:v>26.283932999999987</c:v>
                </c:pt>
                <c:pt idx="322">
                  <c:v>26.283932999999987</c:v>
                </c:pt>
                <c:pt idx="323">
                  <c:v>26.283932999999987</c:v>
                </c:pt>
                <c:pt idx="324">
                  <c:v>26.283932999999987</c:v>
                </c:pt>
                <c:pt idx="325">
                  <c:v>26.283932999999987</c:v>
                </c:pt>
                <c:pt idx="326">
                  <c:v>26.283932999999987</c:v>
                </c:pt>
                <c:pt idx="327">
                  <c:v>26.283932999999987</c:v>
                </c:pt>
                <c:pt idx="328">
                  <c:v>26.283932999999987</c:v>
                </c:pt>
                <c:pt idx="329">
                  <c:v>26.283932999999987</c:v>
                </c:pt>
                <c:pt idx="330">
                  <c:v>26.283932999999987</c:v>
                </c:pt>
                <c:pt idx="331">
                  <c:v>26.283932999999987</c:v>
                </c:pt>
                <c:pt idx="332">
                  <c:v>26.283932999999987</c:v>
                </c:pt>
                <c:pt idx="333">
                  <c:v>26.283932999999987</c:v>
                </c:pt>
                <c:pt idx="334">
                  <c:v>26.283932999999987</c:v>
                </c:pt>
                <c:pt idx="335">
                  <c:v>26.283932999999987</c:v>
                </c:pt>
                <c:pt idx="336">
                  <c:v>26.283932999999987</c:v>
                </c:pt>
                <c:pt idx="337">
                  <c:v>26.283932999999987</c:v>
                </c:pt>
                <c:pt idx="338">
                  <c:v>26.283932999999987</c:v>
                </c:pt>
                <c:pt idx="339">
                  <c:v>26.283932999999987</c:v>
                </c:pt>
                <c:pt idx="340">
                  <c:v>26.283932999999987</c:v>
                </c:pt>
                <c:pt idx="341">
                  <c:v>26.283932999999987</c:v>
                </c:pt>
                <c:pt idx="342">
                  <c:v>26.283932999999987</c:v>
                </c:pt>
                <c:pt idx="343">
                  <c:v>26.283932999999987</c:v>
                </c:pt>
                <c:pt idx="344">
                  <c:v>26.283932999999987</c:v>
                </c:pt>
                <c:pt idx="345">
                  <c:v>26.283932999999987</c:v>
                </c:pt>
                <c:pt idx="346">
                  <c:v>26.283932999999987</c:v>
                </c:pt>
                <c:pt idx="347">
                  <c:v>26.283932999999987</c:v>
                </c:pt>
                <c:pt idx="348">
                  <c:v>26.283932999999987</c:v>
                </c:pt>
                <c:pt idx="349">
                  <c:v>26.283932999999987</c:v>
                </c:pt>
                <c:pt idx="350">
                  <c:v>26.283932999999987</c:v>
                </c:pt>
                <c:pt idx="351">
                  <c:v>26.283932999999987</c:v>
                </c:pt>
                <c:pt idx="352">
                  <c:v>26.283932999999987</c:v>
                </c:pt>
                <c:pt idx="353">
                  <c:v>26.283932999999987</c:v>
                </c:pt>
                <c:pt idx="354">
                  <c:v>26.283932999999987</c:v>
                </c:pt>
                <c:pt idx="355">
                  <c:v>26.283932999999987</c:v>
                </c:pt>
                <c:pt idx="356">
                  <c:v>26.283932999999987</c:v>
                </c:pt>
                <c:pt idx="357">
                  <c:v>26.283932999999987</c:v>
                </c:pt>
                <c:pt idx="358">
                  <c:v>26.283932999999987</c:v>
                </c:pt>
                <c:pt idx="359">
                  <c:v>26.283932999999987</c:v>
                </c:pt>
                <c:pt idx="360">
                  <c:v>26.283932999999987</c:v>
                </c:pt>
                <c:pt idx="361">
                  <c:v>26.283932999999987</c:v>
                </c:pt>
                <c:pt idx="362">
                  <c:v>26.283932999999987</c:v>
                </c:pt>
                <c:pt idx="363">
                  <c:v>26.283932999999987</c:v>
                </c:pt>
                <c:pt idx="364">
                  <c:v>26.283932999999987</c:v>
                </c:pt>
                <c:pt idx="365">
                  <c:v>26.283932999999987</c:v>
                </c:pt>
                <c:pt idx="366">
                  <c:v>26.283932999999987</c:v>
                </c:pt>
                <c:pt idx="367">
                  <c:v>26.283932999999987</c:v>
                </c:pt>
                <c:pt idx="368">
                  <c:v>26.283932999999987</c:v>
                </c:pt>
                <c:pt idx="369">
                  <c:v>26.283932999999987</c:v>
                </c:pt>
                <c:pt idx="370">
                  <c:v>26.283932999999987</c:v>
                </c:pt>
                <c:pt idx="371">
                  <c:v>26.283932999999987</c:v>
                </c:pt>
                <c:pt idx="372">
                  <c:v>26.283932999999987</c:v>
                </c:pt>
                <c:pt idx="373">
                  <c:v>26.283932999999987</c:v>
                </c:pt>
                <c:pt idx="374">
                  <c:v>26.283932999999987</c:v>
                </c:pt>
                <c:pt idx="375">
                  <c:v>26.283932999999987</c:v>
                </c:pt>
                <c:pt idx="376">
                  <c:v>26.283932999999987</c:v>
                </c:pt>
                <c:pt idx="377">
                  <c:v>26.283932999999987</c:v>
                </c:pt>
                <c:pt idx="378">
                  <c:v>26.283932999999987</c:v>
                </c:pt>
                <c:pt idx="379">
                  <c:v>26.283932999999987</c:v>
                </c:pt>
                <c:pt idx="380">
                  <c:v>26.283932999999987</c:v>
                </c:pt>
                <c:pt idx="381">
                  <c:v>26.283932999999987</c:v>
                </c:pt>
                <c:pt idx="382">
                  <c:v>26.283932999999987</c:v>
                </c:pt>
                <c:pt idx="383">
                  <c:v>26.283932999999987</c:v>
                </c:pt>
                <c:pt idx="384">
                  <c:v>26.283932999999987</c:v>
                </c:pt>
                <c:pt idx="385">
                  <c:v>26.283932999999987</c:v>
                </c:pt>
                <c:pt idx="386">
                  <c:v>26.283932999999987</c:v>
                </c:pt>
                <c:pt idx="387">
                  <c:v>26.283932999999987</c:v>
                </c:pt>
                <c:pt idx="388">
                  <c:v>26.283932999999987</c:v>
                </c:pt>
                <c:pt idx="389">
                  <c:v>26.283932999999987</c:v>
                </c:pt>
                <c:pt idx="390">
                  <c:v>26.283932999999987</c:v>
                </c:pt>
                <c:pt idx="391">
                  <c:v>26.283932999999987</c:v>
                </c:pt>
                <c:pt idx="392">
                  <c:v>26.283932999999987</c:v>
                </c:pt>
                <c:pt idx="393">
                  <c:v>26.283932999999987</c:v>
                </c:pt>
                <c:pt idx="394">
                  <c:v>26.283932999999987</c:v>
                </c:pt>
                <c:pt idx="395">
                  <c:v>26.283932999999987</c:v>
                </c:pt>
                <c:pt idx="396">
                  <c:v>26.283932999999987</c:v>
                </c:pt>
                <c:pt idx="397">
                  <c:v>26.283932999999987</c:v>
                </c:pt>
                <c:pt idx="398">
                  <c:v>26.283932999999987</c:v>
                </c:pt>
                <c:pt idx="399">
                  <c:v>26.283932999999987</c:v>
                </c:pt>
                <c:pt idx="400">
                  <c:v>26.283932999999987</c:v>
                </c:pt>
                <c:pt idx="401">
                  <c:v>26.283932999999987</c:v>
                </c:pt>
                <c:pt idx="402">
                  <c:v>26.283932999999987</c:v>
                </c:pt>
                <c:pt idx="403">
                  <c:v>26.283932999999987</c:v>
                </c:pt>
                <c:pt idx="404">
                  <c:v>26.283932999999987</c:v>
                </c:pt>
                <c:pt idx="405">
                  <c:v>26.283932999999987</c:v>
                </c:pt>
                <c:pt idx="406">
                  <c:v>26.283932999999987</c:v>
                </c:pt>
                <c:pt idx="407">
                  <c:v>26.283932999999987</c:v>
                </c:pt>
                <c:pt idx="408">
                  <c:v>26.283932999999987</c:v>
                </c:pt>
                <c:pt idx="409">
                  <c:v>26.283932999999987</c:v>
                </c:pt>
                <c:pt idx="410">
                  <c:v>26.283932999999987</c:v>
                </c:pt>
                <c:pt idx="411">
                  <c:v>26.283932999999987</c:v>
                </c:pt>
                <c:pt idx="412">
                  <c:v>26.283932999999987</c:v>
                </c:pt>
                <c:pt idx="413">
                  <c:v>26.283932999999987</c:v>
                </c:pt>
                <c:pt idx="414">
                  <c:v>26.283932999999987</c:v>
                </c:pt>
                <c:pt idx="415">
                  <c:v>26.283932999999987</c:v>
                </c:pt>
                <c:pt idx="416">
                  <c:v>26.283932999999987</c:v>
                </c:pt>
                <c:pt idx="417">
                  <c:v>26.283932999999987</c:v>
                </c:pt>
                <c:pt idx="418">
                  <c:v>26.283932999999987</c:v>
                </c:pt>
                <c:pt idx="419">
                  <c:v>26.283932999999987</c:v>
                </c:pt>
                <c:pt idx="420">
                  <c:v>26.283932999999987</c:v>
                </c:pt>
                <c:pt idx="421">
                  <c:v>26.283932999999987</c:v>
                </c:pt>
                <c:pt idx="422">
                  <c:v>26.283932999999987</c:v>
                </c:pt>
                <c:pt idx="423">
                  <c:v>26.283932999999987</c:v>
                </c:pt>
                <c:pt idx="424">
                  <c:v>26.283932999999987</c:v>
                </c:pt>
                <c:pt idx="425">
                  <c:v>26.283932999999987</c:v>
                </c:pt>
                <c:pt idx="426">
                  <c:v>26.283932999999987</c:v>
                </c:pt>
                <c:pt idx="427">
                  <c:v>26.283932999999987</c:v>
                </c:pt>
                <c:pt idx="428">
                  <c:v>26.283932999999987</c:v>
                </c:pt>
                <c:pt idx="429">
                  <c:v>26.283932999999987</c:v>
                </c:pt>
                <c:pt idx="430">
                  <c:v>26.283932999999987</c:v>
                </c:pt>
                <c:pt idx="431">
                  <c:v>26.283932999999987</c:v>
                </c:pt>
                <c:pt idx="432">
                  <c:v>26.283932999999987</c:v>
                </c:pt>
                <c:pt idx="433">
                  <c:v>26.283932999999987</c:v>
                </c:pt>
                <c:pt idx="434">
                  <c:v>26.283932999999987</c:v>
                </c:pt>
                <c:pt idx="435">
                  <c:v>26.283932999999987</c:v>
                </c:pt>
                <c:pt idx="436">
                  <c:v>26.283932999999987</c:v>
                </c:pt>
                <c:pt idx="437">
                  <c:v>26.283932999999987</c:v>
                </c:pt>
                <c:pt idx="438">
                  <c:v>26.283932999999987</c:v>
                </c:pt>
                <c:pt idx="439">
                  <c:v>26.283932999999987</c:v>
                </c:pt>
                <c:pt idx="440">
                  <c:v>26.283932999999987</c:v>
                </c:pt>
                <c:pt idx="441">
                  <c:v>26.283932999999987</c:v>
                </c:pt>
                <c:pt idx="442">
                  <c:v>26.283932999999987</c:v>
                </c:pt>
                <c:pt idx="443">
                  <c:v>26.283932999999987</c:v>
                </c:pt>
                <c:pt idx="444">
                  <c:v>26.283932999999987</c:v>
                </c:pt>
                <c:pt idx="445">
                  <c:v>26.283932999999987</c:v>
                </c:pt>
                <c:pt idx="446">
                  <c:v>26.283932999999987</c:v>
                </c:pt>
                <c:pt idx="447">
                  <c:v>26.283932999999987</c:v>
                </c:pt>
                <c:pt idx="448">
                  <c:v>26.283932999999987</c:v>
                </c:pt>
                <c:pt idx="449">
                  <c:v>26.283932999999987</c:v>
                </c:pt>
                <c:pt idx="450">
                  <c:v>26.283932999999987</c:v>
                </c:pt>
                <c:pt idx="451">
                  <c:v>26.283932999999987</c:v>
                </c:pt>
                <c:pt idx="452">
                  <c:v>26.283932999999987</c:v>
                </c:pt>
                <c:pt idx="453">
                  <c:v>26.283932999999987</c:v>
                </c:pt>
                <c:pt idx="454">
                  <c:v>26.283932999999987</c:v>
                </c:pt>
                <c:pt idx="455">
                  <c:v>26.283932999999987</c:v>
                </c:pt>
                <c:pt idx="456">
                  <c:v>26.283932999999987</c:v>
                </c:pt>
                <c:pt idx="457">
                  <c:v>26.283932999999987</c:v>
                </c:pt>
                <c:pt idx="458">
                  <c:v>26.283932999999987</c:v>
                </c:pt>
                <c:pt idx="459">
                  <c:v>26.283932999999987</c:v>
                </c:pt>
                <c:pt idx="460">
                  <c:v>26.283932999999987</c:v>
                </c:pt>
                <c:pt idx="461">
                  <c:v>26.283932999999987</c:v>
                </c:pt>
                <c:pt idx="462">
                  <c:v>26.283932999999987</c:v>
                </c:pt>
                <c:pt idx="463">
                  <c:v>26.283932999999987</c:v>
                </c:pt>
                <c:pt idx="464">
                  <c:v>26.283932999999987</c:v>
                </c:pt>
                <c:pt idx="465">
                  <c:v>26.283932999999987</c:v>
                </c:pt>
                <c:pt idx="466">
                  <c:v>26.283932999999987</c:v>
                </c:pt>
                <c:pt idx="467">
                  <c:v>26.283932999999987</c:v>
                </c:pt>
                <c:pt idx="468">
                  <c:v>26.283932999999987</c:v>
                </c:pt>
                <c:pt idx="469">
                  <c:v>26.283932999999987</c:v>
                </c:pt>
                <c:pt idx="470">
                  <c:v>26.283932999999987</c:v>
                </c:pt>
                <c:pt idx="471">
                  <c:v>26.283932999999987</c:v>
                </c:pt>
                <c:pt idx="472">
                  <c:v>26.283932999999987</c:v>
                </c:pt>
                <c:pt idx="473">
                  <c:v>26.283932999999987</c:v>
                </c:pt>
                <c:pt idx="474">
                  <c:v>26.283932999999987</c:v>
                </c:pt>
                <c:pt idx="475">
                  <c:v>26.283932999999987</c:v>
                </c:pt>
                <c:pt idx="476">
                  <c:v>26.283932999999987</c:v>
                </c:pt>
                <c:pt idx="477">
                  <c:v>26.283932999999987</c:v>
                </c:pt>
                <c:pt idx="478">
                  <c:v>26.283932999999987</c:v>
                </c:pt>
                <c:pt idx="479">
                  <c:v>26.283932999999987</c:v>
                </c:pt>
                <c:pt idx="480">
                  <c:v>26.283932999999987</c:v>
                </c:pt>
                <c:pt idx="481">
                  <c:v>26.283932999999987</c:v>
                </c:pt>
                <c:pt idx="482">
                  <c:v>26.283932999999987</c:v>
                </c:pt>
                <c:pt idx="483">
                  <c:v>26.283932999999987</c:v>
                </c:pt>
                <c:pt idx="484">
                  <c:v>26.283932999999987</c:v>
                </c:pt>
                <c:pt idx="485">
                  <c:v>26.283932999999987</c:v>
                </c:pt>
                <c:pt idx="486">
                  <c:v>26.283932999999987</c:v>
                </c:pt>
                <c:pt idx="487">
                  <c:v>26.283932999999987</c:v>
                </c:pt>
                <c:pt idx="488">
                  <c:v>26.283932999999987</c:v>
                </c:pt>
                <c:pt idx="489">
                  <c:v>26.283932999999987</c:v>
                </c:pt>
                <c:pt idx="490">
                  <c:v>26.283932999999987</c:v>
                </c:pt>
                <c:pt idx="491">
                  <c:v>26.283932999999987</c:v>
                </c:pt>
                <c:pt idx="492">
                  <c:v>26.283932999999987</c:v>
                </c:pt>
                <c:pt idx="493">
                  <c:v>26.283932999999987</c:v>
                </c:pt>
                <c:pt idx="494">
                  <c:v>26.283932999999987</c:v>
                </c:pt>
                <c:pt idx="495">
                  <c:v>26.283932999999987</c:v>
                </c:pt>
                <c:pt idx="496">
                  <c:v>26.283932999999987</c:v>
                </c:pt>
                <c:pt idx="497">
                  <c:v>26.283932999999987</c:v>
                </c:pt>
                <c:pt idx="498">
                  <c:v>26.283932999999987</c:v>
                </c:pt>
                <c:pt idx="499">
                  <c:v>26.283932999999987</c:v>
                </c:pt>
                <c:pt idx="500">
                  <c:v>26.283932999999987</c:v>
                </c:pt>
                <c:pt idx="501">
                  <c:v>26.283932999999987</c:v>
                </c:pt>
                <c:pt idx="502">
                  <c:v>26.283932999999987</c:v>
                </c:pt>
                <c:pt idx="503">
                  <c:v>26.283932999999987</c:v>
                </c:pt>
                <c:pt idx="504">
                  <c:v>26.283932999999987</c:v>
                </c:pt>
                <c:pt idx="505">
                  <c:v>26.283932999999987</c:v>
                </c:pt>
                <c:pt idx="506">
                  <c:v>26.283932999999987</c:v>
                </c:pt>
                <c:pt idx="507">
                  <c:v>26.283932999999987</c:v>
                </c:pt>
                <c:pt idx="508">
                  <c:v>26.283932999999987</c:v>
                </c:pt>
                <c:pt idx="509">
                  <c:v>26.283932999999987</c:v>
                </c:pt>
                <c:pt idx="510">
                  <c:v>26.283932999999987</c:v>
                </c:pt>
                <c:pt idx="511">
                  <c:v>26.283932999999987</c:v>
                </c:pt>
                <c:pt idx="512">
                  <c:v>26.283932999999987</c:v>
                </c:pt>
                <c:pt idx="513">
                  <c:v>26.283932999999987</c:v>
                </c:pt>
                <c:pt idx="514">
                  <c:v>26.283932999999987</c:v>
                </c:pt>
                <c:pt idx="515">
                  <c:v>26.283932999999987</c:v>
                </c:pt>
                <c:pt idx="516">
                  <c:v>26.283932999999987</c:v>
                </c:pt>
                <c:pt idx="517">
                  <c:v>26.283932999999987</c:v>
                </c:pt>
                <c:pt idx="518">
                  <c:v>26.283932999999987</c:v>
                </c:pt>
                <c:pt idx="519">
                  <c:v>26.283932999999987</c:v>
                </c:pt>
                <c:pt idx="520">
                  <c:v>26.283932999999987</c:v>
                </c:pt>
                <c:pt idx="521">
                  <c:v>26.283932999999987</c:v>
                </c:pt>
                <c:pt idx="522">
                  <c:v>26.283932999999987</c:v>
                </c:pt>
                <c:pt idx="523">
                  <c:v>26.283932999999987</c:v>
                </c:pt>
                <c:pt idx="524">
                  <c:v>26.283932999999987</c:v>
                </c:pt>
                <c:pt idx="525">
                  <c:v>26.283932999999987</c:v>
                </c:pt>
                <c:pt idx="526">
                  <c:v>26.283932999999987</c:v>
                </c:pt>
                <c:pt idx="527">
                  <c:v>26.283932999999987</c:v>
                </c:pt>
                <c:pt idx="528">
                  <c:v>26.283932999999987</c:v>
                </c:pt>
                <c:pt idx="529">
                  <c:v>26.283932999999987</c:v>
                </c:pt>
                <c:pt idx="530">
                  <c:v>26.283932999999987</c:v>
                </c:pt>
                <c:pt idx="531">
                  <c:v>26.283932999999987</c:v>
                </c:pt>
                <c:pt idx="532">
                  <c:v>26.283932999999987</c:v>
                </c:pt>
                <c:pt idx="533">
                  <c:v>26.283932999999987</c:v>
                </c:pt>
                <c:pt idx="534">
                  <c:v>26.283932999999987</c:v>
                </c:pt>
                <c:pt idx="535">
                  <c:v>26.283932999999987</c:v>
                </c:pt>
                <c:pt idx="536">
                  <c:v>26.283932999999987</c:v>
                </c:pt>
                <c:pt idx="537">
                  <c:v>26.283932999999987</c:v>
                </c:pt>
                <c:pt idx="538">
                  <c:v>26.283932999999987</c:v>
                </c:pt>
                <c:pt idx="539">
                  <c:v>26.283932999999987</c:v>
                </c:pt>
                <c:pt idx="540">
                  <c:v>26.283932999999987</c:v>
                </c:pt>
                <c:pt idx="541">
                  <c:v>26.283932999999987</c:v>
                </c:pt>
                <c:pt idx="542">
                  <c:v>26.283932999999987</c:v>
                </c:pt>
                <c:pt idx="543">
                  <c:v>26.283932999999987</c:v>
                </c:pt>
                <c:pt idx="544">
                  <c:v>26.283932999999987</c:v>
                </c:pt>
                <c:pt idx="545">
                  <c:v>26.283932999999987</c:v>
                </c:pt>
                <c:pt idx="546">
                  <c:v>26.283932999999987</c:v>
                </c:pt>
                <c:pt idx="547">
                  <c:v>26.283932999999987</c:v>
                </c:pt>
                <c:pt idx="548">
                  <c:v>26.283932999999987</c:v>
                </c:pt>
                <c:pt idx="549">
                  <c:v>26.283932999999987</c:v>
                </c:pt>
                <c:pt idx="550">
                  <c:v>26.283932999999987</c:v>
                </c:pt>
                <c:pt idx="551">
                  <c:v>26.283932999999987</c:v>
                </c:pt>
                <c:pt idx="552">
                  <c:v>26.283932999999987</c:v>
                </c:pt>
                <c:pt idx="553">
                  <c:v>26.283932999999987</c:v>
                </c:pt>
                <c:pt idx="554">
                  <c:v>26.283932999999987</c:v>
                </c:pt>
                <c:pt idx="555">
                  <c:v>26.283932999999987</c:v>
                </c:pt>
                <c:pt idx="556">
                  <c:v>26.283932999999987</c:v>
                </c:pt>
                <c:pt idx="557">
                  <c:v>26.283932999999987</c:v>
                </c:pt>
                <c:pt idx="558">
                  <c:v>26.283932999999987</c:v>
                </c:pt>
                <c:pt idx="559">
                  <c:v>26.283932999999987</c:v>
                </c:pt>
                <c:pt idx="560">
                  <c:v>26.283932999999987</c:v>
                </c:pt>
                <c:pt idx="561">
                  <c:v>26.283932999999987</c:v>
                </c:pt>
                <c:pt idx="562">
                  <c:v>26.283932999999987</c:v>
                </c:pt>
                <c:pt idx="563">
                  <c:v>26.283932999999987</c:v>
                </c:pt>
                <c:pt idx="564">
                  <c:v>26.283932999999987</c:v>
                </c:pt>
                <c:pt idx="565">
                  <c:v>26.283932999999987</c:v>
                </c:pt>
                <c:pt idx="566">
                  <c:v>26.283932999999987</c:v>
                </c:pt>
                <c:pt idx="567">
                  <c:v>26.283932999999987</c:v>
                </c:pt>
                <c:pt idx="568">
                  <c:v>26.283932999999987</c:v>
                </c:pt>
                <c:pt idx="569">
                  <c:v>26.283932999999987</c:v>
                </c:pt>
                <c:pt idx="570">
                  <c:v>26.283932999999987</c:v>
                </c:pt>
                <c:pt idx="571">
                  <c:v>26.283932999999987</c:v>
                </c:pt>
                <c:pt idx="572">
                  <c:v>26.283932999999987</c:v>
                </c:pt>
                <c:pt idx="573">
                  <c:v>26.283932999999987</c:v>
                </c:pt>
                <c:pt idx="574">
                  <c:v>26.283932999999987</c:v>
                </c:pt>
                <c:pt idx="575">
                  <c:v>26.283932999999987</c:v>
                </c:pt>
                <c:pt idx="576">
                  <c:v>26.283932999999987</c:v>
                </c:pt>
                <c:pt idx="577">
                  <c:v>26.283932999999987</c:v>
                </c:pt>
                <c:pt idx="578">
                  <c:v>26.283932999999987</c:v>
                </c:pt>
                <c:pt idx="579">
                  <c:v>26.283932999999987</c:v>
                </c:pt>
                <c:pt idx="580">
                  <c:v>26.283932999999987</c:v>
                </c:pt>
                <c:pt idx="581">
                  <c:v>26.283932999999987</c:v>
                </c:pt>
                <c:pt idx="582">
                  <c:v>26.283932999999987</c:v>
                </c:pt>
                <c:pt idx="583">
                  <c:v>26.283932999999987</c:v>
                </c:pt>
                <c:pt idx="584">
                  <c:v>26.283932999999987</c:v>
                </c:pt>
                <c:pt idx="585">
                  <c:v>26.283932999999987</c:v>
                </c:pt>
                <c:pt idx="586">
                  <c:v>26.283932999999987</c:v>
                </c:pt>
                <c:pt idx="587">
                  <c:v>26.283932999999987</c:v>
                </c:pt>
                <c:pt idx="588">
                  <c:v>26.283932999999987</c:v>
                </c:pt>
                <c:pt idx="589">
                  <c:v>26.283932999999987</c:v>
                </c:pt>
                <c:pt idx="590">
                  <c:v>26.283932999999987</c:v>
                </c:pt>
                <c:pt idx="591">
                  <c:v>26.283932999999987</c:v>
                </c:pt>
                <c:pt idx="592">
                  <c:v>26.283932999999987</c:v>
                </c:pt>
                <c:pt idx="593">
                  <c:v>26.283932999999987</c:v>
                </c:pt>
                <c:pt idx="594">
                  <c:v>26.283932999999987</c:v>
                </c:pt>
                <c:pt idx="595">
                  <c:v>26.283932999999987</c:v>
                </c:pt>
                <c:pt idx="596">
                  <c:v>26.283932999999987</c:v>
                </c:pt>
                <c:pt idx="597">
                  <c:v>26.283932999999987</c:v>
                </c:pt>
                <c:pt idx="598">
                  <c:v>26.283932999999987</c:v>
                </c:pt>
                <c:pt idx="599">
                  <c:v>26.283932999999987</c:v>
                </c:pt>
                <c:pt idx="600">
                  <c:v>26.283932999999987</c:v>
                </c:pt>
                <c:pt idx="601">
                  <c:v>26.283932999999987</c:v>
                </c:pt>
                <c:pt idx="602">
                  <c:v>26.283932999999987</c:v>
                </c:pt>
                <c:pt idx="603">
                  <c:v>26.283932999999987</c:v>
                </c:pt>
                <c:pt idx="604">
                  <c:v>26.283932999999987</c:v>
                </c:pt>
                <c:pt idx="605">
                  <c:v>26.283932999999987</c:v>
                </c:pt>
                <c:pt idx="606">
                  <c:v>26.283932999999987</c:v>
                </c:pt>
                <c:pt idx="607">
                  <c:v>26.283932999999987</c:v>
                </c:pt>
                <c:pt idx="608">
                  <c:v>26.283932999999987</c:v>
                </c:pt>
                <c:pt idx="609">
                  <c:v>26.283932999999987</c:v>
                </c:pt>
                <c:pt idx="610">
                  <c:v>26.283932999999987</c:v>
                </c:pt>
                <c:pt idx="611">
                  <c:v>26.283932999999987</c:v>
                </c:pt>
                <c:pt idx="612">
                  <c:v>26.283932999999987</c:v>
                </c:pt>
                <c:pt idx="613">
                  <c:v>26.283932999999987</c:v>
                </c:pt>
                <c:pt idx="614">
                  <c:v>26.283932999999987</c:v>
                </c:pt>
                <c:pt idx="615">
                  <c:v>26.283932999999987</c:v>
                </c:pt>
                <c:pt idx="616">
                  <c:v>26.283932999999987</c:v>
                </c:pt>
                <c:pt idx="617">
                  <c:v>26.283932999999987</c:v>
                </c:pt>
                <c:pt idx="618">
                  <c:v>26.283932999999987</c:v>
                </c:pt>
                <c:pt idx="619">
                  <c:v>26.283932999999987</c:v>
                </c:pt>
                <c:pt idx="620">
                  <c:v>26.283932999999987</c:v>
                </c:pt>
                <c:pt idx="621">
                  <c:v>26.283932999999987</c:v>
                </c:pt>
                <c:pt idx="622">
                  <c:v>26.283932999999987</c:v>
                </c:pt>
                <c:pt idx="623">
                  <c:v>26.283932999999987</c:v>
                </c:pt>
                <c:pt idx="624">
                  <c:v>26.283932999999987</c:v>
                </c:pt>
                <c:pt idx="625">
                  <c:v>26.283932999999987</c:v>
                </c:pt>
                <c:pt idx="626">
                  <c:v>26.283932999999987</c:v>
                </c:pt>
                <c:pt idx="627">
                  <c:v>26.283932999999987</c:v>
                </c:pt>
                <c:pt idx="628">
                  <c:v>26.283932999999987</c:v>
                </c:pt>
                <c:pt idx="629">
                  <c:v>26.283932999999987</c:v>
                </c:pt>
                <c:pt idx="630">
                  <c:v>26.283932999999987</c:v>
                </c:pt>
                <c:pt idx="631">
                  <c:v>26.283932999999987</c:v>
                </c:pt>
                <c:pt idx="632">
                  <c:v>26.283932999999987</c:v>
                </c:pt>
                <c:pt idx="633">
                  <c:v>26.283932999999987</c:v>
                </c:pt>
                <c:pt idx="634">
                  <c:v>26.283932999999987</c:v>
                </c:pt>
                <c:pt idx="635">
                  <c:v>26.283932999999987</c:v>
                </c:pt>
                <c:pt idx="636">
                  <c:v>26.283932999999987</c:v>
                </c:pt>
                <c:pt idx="637">
                  <c:v>26.283932999999987</c:v>
                </c:pt>
                <c:pt idx="638">
                  <c:v>26.283932999999987</c:v>
                </c:pt>
                <c:pt idx="639">
                  <c:v>26.283932999999987</c:v>
                </c:pt>
                <c:pt idx="640">
                  <c:v>26.283932999999987</c:v>
                </c:pt>
                <c:pt idx="641">
                  <c:v>26.283932999999987</c:v>
                </c:pt>
                <c:pt idx="642">
                  <c:v>26.283932999999987</c:v>
                </c:pt>
                <c:pt idx="643">
                  <c:v>26.283932999999987</c:v>
                </c:pt>
                <c:pt idx="644">
                  <c:v>26.283932999999987</c:v>
                </c:pt>
                <c:pt idx="645">
                  <c:v>26.283932999999987</c:v>
                </c:pt>
                <c:pt idx="646">
                  <c:v>26.283932999999987</c:v>
                </c:pt>
                <c:pt idx="647">
                  <c:v>26.283932999999987</c:v>
                </c:pt>
                <c:pt idx="648">
                  <c:v>26.283932999999987</c:v>
                </c:pt>
                <c:pt idx="649">
                  <c:v>26.283932999999987</c:v>
                </c:pt>
                <c:pt idx="650">
                  <c:v>26.283932999999987</c:v>
                </c:pt>
                <c:pt idx="651">
                  <c:v>26.283932999999987</c:v>
                </c:pt>
                <c:pt idx="652">
                  <c:v>26.283932999999987</c:v>
                </c:pt>
                <c:pt idx="653">
                  <c:v>26.283932999999987</c:v>
                </c:pt>
                <c:pt idx="654">
                  <c:v>26.283932999999987</c:v>
                </c:pt>
                <c:pt idx="655">
                  <c:v>26.283932999999987</c:v>
                </c:pt>
                <c:pt idx="656">
                  <c:v>26.283932999999987</c:v>
                </c:pt>
                <c:pt idx="657">
                  <c:v>26.283932999999987</c:v>
                </c:pt>
                <c:pt idx="658">
                  <c:v>26.283932999999987</c:v>
                </c:pt>
                <c:pt idx="659">
                  <c:v>26.283932999999987</c:v>
                </c:pt>
                <c:pt idx="660">
                  <c:v>26.283932999999987</c:v>
                </c:pt>
                <c:pt idx="661">
                  <c:v>26.283932999999987</c:v>
                </c:pt>
                <c:pt idx="662">
                  <c:v>26.283932999999987</c:v>
                </c:pt>
                <c:pt idx="663">
                  <c:v>26.283932999999987</c:v>
                </c:pt>
                <c:pt idx="664">
                  <c:v>26.283932999999987</c:v>
                </c:pt>
                <c:pt idx="665">
                  <c:v>26.283932999999987</c:v>
                </c:pt>
                <c:pt idx="666">
                  <c:v>26.283932999999987</c:v>
                </c:pt>
                <c:pt idx="667">
                  <c:v>26.283932999999987</c:v>
                </c:pt>
                <c:pt idx="668">
                  <c:v>26.283932999999987</c:v>
                </c:pt>
                <c:pt idx="669">
                  <c:v>26.283932999999987</c:v>
                </c:pt>
                <c:pt idx="670">
                  <c:v>26.283932999999987</c:v>
                </c:pt>
                <c:pt idx="671">
                  <c:v>26.283932999999987</c:v>
                </c:pt>
                <c:pt idx="672">
                  <c:v>26.283932999999987</c:v>
                </c:pt>
                <c:pt idx="673">
                  <c:v>26.283932999999987</c:v>
                </c:pt>
                <c:pt idx="674">
                  <c:v>26.283932999999987</c:v>
                </c:pt>
                <c:pt idx="675">
                  <c:v>26.283932999999987</c:v>
                </c:pt>
                <c:pt idx="676">
                  <c:v>26.283932999999987</c:v>
                </c:pt>
                <c:pt idx="677">
                  <c:v>26.283932999999987</c:v>
                </c:pt>
                <c:pt idx="678">
                  <c:v>26.283932999999987</c:v>
                </c:pt>
                <c:pt idx="679">
                  <c:v>26.283932999999987</c:v>
                </c:pt>
                <c:pt idx="680">
                  <c:v>26.283932999999987</c:v>
                </c:pt>
                <c:pt idx="681">
                  <c:v>26.283932999999987</c:v>
                </c:pt>
                <c:pt idx="682">
                  <c:v>26.283932999999987</c:v>
                </c:pt>
                <c:pt idx="683">
                  <c:v>26.283932999999987</c:v>
                </c:pt>
                <c:pt idx="684">
                  <c:v>26.283932999999987</c:v>
                </c:pt>
                <c:pt idx="685">
                  <c:v>26.283932999999987</c:v>
                </c:pt>
                <c:pt idx="686">
                  <c:v>26.283932999999987</c:v>
                </c:pt>
                <c:pt idx="687">
                  <c:v>26.283932999999987</c:v>
                </c:pt>
                <c:pt idx="688">
                  <c:v>26.283932999999987</c:v>
                </c:pt>
                <c:pt idx="689">
                  <c:v>26.283932999999987</c:v>
                </c:pt>
                <c:pt idx="690">
                  <c:v>26.283932999999987</c:v>
                </c:pt>
                <c:pt idx="691">
                  <c:v>26.283932999999987</c:v>
                </c:pt>
                <c:pt idx="692">
                  <c:v>26.283932999999987</c:v>
                </c:pt>
                <c:pt idx="693">
                  <c:v>26.283932999999987</c:v>
                </c:pt>
                <c:pt idx="694">
                  <c:v>26.283932999999987</c:v>
                </c:pt>
                <c:pt idx="695">
                  <c:v>26.283932999999987</c:v>
                </c:pt>
                <c:pt idx="696">
                  <c:v>26.283932999999987</c:v>
                </c:pt>
                <c:pt idx="697">
                  <c:v>26.283932999999987</c:v>
                </c:pt>
                <c:pt idx="698">
                  <c:v>26.283932999999987</c:v>
                </c:pt>
                <c:pt idx="699">
                  <c:v>26.283932999999987</c:v>
                </c:pt>
                <c:pt idx="700">
                  <c:v>26.283932999999987</c:v>
                </c:pt>
                <c:pt idx="701">
                  <c:v>26.283932999999987</c:v>
                </c:pt>
                <c:pt idx="702">
                  <c:v>26.283932999999987</c:v>
                </c:pt>
                <c:pt idx="703">
                  <c:v>26.283932999999987</c:v>
                </c:pt>
                <c:pt idx="704">
                  <c:v>26.283932999999987</c:v>
                </c:pt>
                <c:pt idx="705">
                  <c:v>26.283932999999987</c:v>
                </c:pt>
                <c:pt idx="706">
                  <c:v>26.283932999999987</c:v>
                </c:pt>
                <c:pt idx="707">
                  <c:v>26.283932999999987</c:v>
                </c:pt>
                <c:pt idx="708">
                  <c:v>26.283932999999987</c:v>
                </c:pt>
                <c:pt idx="709">
                  <c:v>26.283932999999987</c:v>
                </c:pt>
                <c:pt idx="710">
                  <c:v>26.283932999999987</c:v>
                </c:pt>
                <c:pt idx="711">
                  <c:v>26.283932999999987</c:v>
                </c:pt>
                <c:pt idx="712">
                  <c:v>26.283932999999987</c:v>
                </c:pt>
                <c:pt idx="713">
                  <c:v>26.283932999999987</c:v>
                </c:pt>
                <c:pt idx="714">
                  <c:v>26.283932999999987</c:v>
                </c:pt>
                <c:pt idx="715">
                  <c:v>26.283932999999987</c:v>
                </c:pt>
                <c:pt idx="716">
                  <c:v>26.283932999999987</c:v>
                </c:pt>
                <c:pt idx="717">
                  <c:v>26.283932999999987</c:v>
                </c:pt>
                <c:pt idx="718">
                  <c:v>26.283932999999987</c:v>
                </c:pt>
                <c:pt idx="719">
                  <c:v>26.283932999999987</c:v>
                </c:pt>
                <c:pt idx="720">
                  <c:v>26.283932999999987</c:v>
                </c:pt>
                <c:pt idx="721">
                  <c:v>26.283932999999987</c:v>
                </c:pt>
                <c:pt idx="722">
                  <c:v>26.283932999999987</c:v>
                </c:pt>
                <c:pt idx="723">
                  <c:v>26.283932999999987</c:v>
                </c:pt>
                <c:pt idx="724">
                  <c:v>26.283932999999987</c:v>
                </c:pt>
                <c:pt idx="725">
                  <c:v>26.283932999999987</c:v>
                </c:pt>
                <c:pt idx="726">
                  <c:v>26.283932999999987</c:v>
                </c:pt>
                <c:pt idx="727">
                  <c:v>26.283932999999987</c:v>
                </c:pt>
                <c:pt idx="728">
                  <c:v>26.283932999999987</c:v>
                </c:pt>
                <c:pt idx="729">
                  <c:v>26.283932999999987</c:v>
                </c:pt>
                <c:pt idx="730">
                  <c:v>26.283932999999987</c:v>
                </c:pt>
                <c:pt idx="731">
                  <c:v>26.283932999999987</c:v>
                </c:pt>
                <c:pt idx="732">
                  <c:v>26.283932999999987</c:v>
                </c:pt>
                <c:pt idx="733">
                  <c:v>26.283932999999987</c:v>
                </c:pt>
                <c:pt idx="734">
                  <c:v>26.283932999999987</c:v>
                </c:pt>
                <c:pt idx="735">
                  <c:v>26.283932999999987</c:v>
                </c:pt>
                <c:pt idx="736">
                  <c:v>26.283932999999987</c:v>
                </c:pt>
                <c:pt idx="737">
                  <c:v>26.283932999999987</c:v>
                </c:pt>
                <c:pt idx="738">
                  <c:v>26.283932999999987</c:v>
                </c:pt>
                <c:pt idx="739">
                  <c:v>26.283932999999987</c:v>
                </c:pt>
                <c:pt idx="740">
                  <c:v>26.283932999999987</c:v>
                </c:pt>
                <c:pt idx="741">
                  <c:v>26.283932999999987</c:v>
                </c:pt>
                <c:pt idx="742">
                  <c:v>26.283932999999987</c:v>
                </c:pt>
                <c:pt idx="743">
                  <c:v>26.283932999999987</c:v>
                </c:pt>
                <c:pt idx="744">
                  <c:v>26.283932999999987</c:v>
                </c:pt>
                <c:pt idx="745">
                  <c:v>26.283932999999987</c:v>
                </c:pt>
                <c:pt idx="746">
                  <c:v>26.283932999999987</c:v>
                </c:pt>
                <c:pt idx="747">
                  <c:v>26.283932999999987</c:v>
                </c:pt>
                <c:pt idx="748">
                  <c:v>26.283932999999987</c:v>
                </c:pt>
                <c:pt idx="749">
                  <c:v>26.283932999999987</c:v>
                </c:pt>
                <c:pt idx="750">
                  <c:v>26.283932999999987</c:v>
                </c:pt>
                <c:pt idx="751">
                  <c:v>26.283932999999987</c:v>
                </c:pt>
                <c:pt idx="752">
                  <c:v>26.283932999999987</c:v>
                </c:pt>
                <c:pt idx="753">
                  <c:v>26.283932999999987</c:v>
                </c:pt>
                <c:pt idx="754">
                  <c:v>26.283932999999987</c:v>
                </c:pt>
                <c:pt idx="755">
                  <c:v>26.283932999999987</c:v>
                </c:pt>
                <c:pt idx="756">
                  <c:v>26.283932999999987</c:v>
                </c:pt>
                <c:pt idx="757">
                  <c:v>26.283932999999987</c:v>
                </c:pt>
                <c:pt idx="758">
                  <c:v>26.283932999999987</c:v>
                </c:pt>
                <c:pt idx="759">
                  <c:v>26.283932999999987</c:v>
                </c:pt>
                <c:pt idx="760">
                  <c:v>26.283932999999987</c:v>
                </c:pt>
                <c:pt idx="761">
                  <c:v>26.283932999999987</c:v>
                </c:pt>
                <c:pt idx="762">
                  <c:v>26.283932999999987</c:v>
                </c:pt>
                <c:pt idx="763">
                  <c:v>26.283932999999987</c:v>
                </c:pt>
                <c:pt idx="764">
                  <c:v>26.283932999999987</c:v>
                </c:pt>
                <c:pt idx="765">
                  <c:v>26.283932999999987</c:v>
                </c:pt>
                <c:pt idx="766">
                  <c:v>26.283932999999987</c:v>
                </c:pt>
                <c:pt idx="767">
                  <c:v>26.283932999999987</c:v>
                </c:pt>
                <c:pt idx="768">
                  <c:v>26.283932999999987</c:v>
                </c:pt>
                <c:pt idx="769">
                  <c:v>26.283932999999987</c:v>
                </c:pt>
                <c:pt idx="770">
                  <c:v>26.283932999999987</c:v>
                </c:pt>
                <c:pt idx="771">
                  <c:v>26.283932999999987</c:v>
                </c:pt>
                <c:pt idx="772">
                  <c:v>26.283932999999987</c:v>
                </c:pt>
                <c:pt idx="773">
                  <c:v>26.283932999999987</c:v>
                </c:pt>
                <c:pt idx="774">
                  <c:v>26.283932999999987</c:v>
                </c:pt>
                <c:pt idx="775">
                  <c:v>26.283932999999987</c:v>
                </c:pt>
                <c:pt idx="776">
                  <c:v>26.283932999999987</c:v>
                </c:pt>
                <c:pt idx="777">
                  <c:v>26.283932999999987</c:v>
                </c:pt>
                <c:pt idx="778">
                  <c:v>26.283932999999987</c:v>
                </c:pt>
                <c:pt idx="779">
                  <c:v>26.283932999999987</c:v>
                </c:pt>
                <c:pt idx="780">
                  <c:v>26.283932999999987</c:v>
                </c:pt>
                <c:pt idx="781">
                  <c:v>26.283932999999987</c:v>
                </c:pt>
                <c:pt idx="782">
                  <c:v>26.283932999999987</c:v>
                </c:pt>
                <c:pt idx="783">
                  <c:v>26.283932999999987</c:v>
                </c:pt>
                <c:pt idx="784">
                  <c:v>26.283932999999987</c:v>
                </c:pt>
                <c:pt idx="785">
                  <c:v>26.283932999999987</c:v>
                </c:pt>
                <c:pt idx="786">
                  <c:v>26.283932999999987</c:v>
                </c:pt>
                <c:pt idx="787">
                  <c:v>26.283932999999987</c:v>
                </c:pt>
                <c:pt idx="788">
                  <c:v>26.283932999999987</c:v>
                </c:pt>
                <c:pt idx="789">
                  <c:v>26.283932999999987</c:v>
                </c:pt>
                <c:pt idx="790">
                  <c:v>26.283932999999987</c:v>
                </c:pt>
                <c:pt idx="791">
                  <c:v>26.283932999999987</c:v>
                </c:pt>
                <c:pt idx="792">
                  <c:v>26.283932999999987</c:v>
                </c:pt>
                <c:pt idx="793">
                  <c:v>26.283932999999987</c:v>
                </c:pt>
                <c:pt idx="794">
                  <c:v>26.283932999999987</c:v>
                </c:pt>
                <c:pt idx="795">
                  <c:v>26.283932999999987</c:v>
                </c:pt>
                <c:pt idx="796">
                  <c:v>26.283932999999987</c:v>
                </c:pt>
                <c:pt idx="797">
                  <c:v>26.283932999999987</c:v>
                </c:pt>
                <c:pt idx="798">
                  <c:v>26.283932999999987</c:v>
                </c:pt>
                <c:pt idx="799">
                  <c:v>26.283932999999987</c:v>
                </c:pt>
                <c:pt idx="800">
                  <c:v>26.283932999999987</c:v>
                </c:pt>
                <c:pt idx="801">
                  <c:v>26.283932999999987</c:v>
                </c:pt>
                <c:pt idx="802">
                  <c:v>26.283932999999987</c:v>
                </c:pt>
                <c:pt idx="803">
                  <c:v>26.283932999999987</c:v>
                </c:pt>
                <c:pt idx="804">
                  <c:v>26.283932999999987</c:v>
                </c:pt>
                <c:pt idx="805">
                  <c:v>26.283932999999987</c:v>
                </c:pt>
                <c:pt idx="806">
                  <c:v>26.283932999999987</c:v>
                </c:pt>
                <c:pt idx="807">
                  <c:v>26.283932999999987</c:v>
                </c:pt>
                <c:pt idx="808">
                  <c:v>26.283932999999987</c:v>
                </c:pt>
                <c:pt idx="809">
                  <c:v>26.283932999999987</c:v>
                </c:pt>
                <c:pt idx="810">
                  <c:v>26.283932999999987</c:v>
                </c:pt>
                <c:pt idx="811">
                  <c:v>26.283932999999987</c:v>
                </c:pt>
                <c:pt idx="812">
                  <c:v>26.283932999999987</c:v>
                </c:pt>
                <c:pt idx="813">
                  <c:v>26.283932999999987</c:v>
                </c:pt>
                <c:pt idx="814">
                  <c:v>26.283932999999987</c:v>
                </c:pt>
                <c:pt idx="815">
                  <c:v>26.283932999999987</c:v>
                </c:pt>
                <c:pt idx="816">
                  <c:v>26.283932999999987</c:v>
                </c:pt>
                <c:pt idx="817">
                  <c:v>26.283932999999987</c:v>
                </c:pt>
                <c:pt idx="818">
                  <c:v>26.283932999999987</c:v>
                </c:pt>
                <c:pt idx="819">
                  <c:v>26.283932999999987</c:v>
                </c:pt>
                <c:pt idx="820">
                  <c:v>26.283932999999987</c:v>
                </c:pt>
                <c:pt idx="821">
                  <c:v>26.283932999999987</c:v>
                </c:pt>
                <c:pt idx="822">
                  <c:v>26.283932999999987</c:v>
                </c:pt>
                <c:pt idx="823">
                  <c:v>26.283932999999987</c:v>
                </c:pt>
                <c:pt idx="824">
                  <c:v>26.283932999999987</c:v>
                </c:pt>
                <c:pt idx="825">
                  <c:v>26.283932999999987</c:v>
                </c:pt>
                <c:pt idx="826">
                  <c:v>26.283932999999987</c:v>
                </c:pt>
                <c:pt idx="827">
                  <c:v>26.283932999999987</c:v>
                </c:pt>
                <c:pt idx="828">
                  <c:v>26.283932999999987</c:v>
                </c:pt>
                <c:pt idx="829">
                  <c:v>26.283932999999987</c:v>
                </c:pt>
                <c:pt idx="830">
                  <c:v>26.283932999999987</c:v>
                </c:pt>
                <c:pt idx="831">
                  <c:v>26.283932999999987</c:v>
                </c:pt>
                <c:pt idx="832">
                  <c:v>26.283932999999987</c:v>
                </c:pt>
                <c:pt idx="833">
                  <c:v>26.283932999999987</c:v>
                </c:pt>
                <c:pt idx="834">
                  <c:v>26.283932999999987</c:v>
                </c:pt>
                <c:pt idx="835">
                  <c:v>26.283932999999987</c:v>
                </c:pt>
                <c:pt idx="836">
                  <c:v>26.283932999999987</c:v>
                </c:pt>
                <c:pt idx="837">
                  <c:v>26.283932999999987</c:v>
                </c:pt>
                <c:pt idx="838">
                  <c:v>26.283932999999987</c:v>
                </c:pt>
                <c:pt idx="839">
                  <c:v>26.283932999999987</c:v>
                </c:pt>
                <c:pt idx="840">
                  <c:v>26.283932999999987</c:v>
                </c:pt>
                <c:pt idx="841">
                  <c:v>26.283932999999987</c:v>
                </c:pt>
                <c:pt idx="842">
                  <c:v>26.283932999999987</c:v>
                </c:pt>
                <c:pt idx="843">
                  <c:v>26.283932999999987</c:v>
                </c:pt>
                <c:pt idx="844">
                  <c:v>26.283932999999987</c:v>
                </c:pt>
                <c:pt idx="845">
                  <c:v>26.283932999999987</c:v>
                </c:pt>
                <c:pt idx="846">
                  <c:v>26.283932999999987</c:v>
                </c:pt>
                <c:pt idx="847">
                  <c:v>26.283932999999987</c:v>
                </c:pt>
                <c:pt idx="848">
                  <c:v>26.283932999999987</c:v>
                </c:pt>
                <c:pt idx="849">
                  <c:v>26.283932999999987</c:v>
                </c:pt>
                <c:pt idx="850">
                  <c:v>26.283932999999987</c:v>
                </c:pt>
                <c:pt idx="851">
                  <c:v>26.283932999999987</c:v>
                </c:pt>
                <c:pt idx="852">
                  <c:v>26.283932999999987</c:v>
                </c:pt>
                <c:pt idx="853">
                  <c:v>26.283932999999987</c:v>
                </c:pt>
                <c:pt idx="854">
                  <c:v>26.283932999999987</c:v>
                </c:pt>
                <c:pt idx="855">
                  <c:v>26.283932999999987</c:v>
                </c:pt>
                <c:pt idx="856">
                  <c:v>26.283932999999987</c:v>
                </c:pt>
                <c:pt idx="857">
                  <c:v>26.283932999999987</c:v>
                </c:pt>
                <c:pt idx="858">
                  <c:v>26.283932999999987</c:v>
                </c:pt>
                <c:pt idx="859">
                  <c:v>26.283932999999987</c:v>
                </c:pt>
                <c:pt idx="860">
                  <c:v>26.283932999999987</c:v>
                </c:pt>
                <c:pt idx="861">
                  <c:v>26.283932999999987</c:v>
                </c:pt>
                <c:pt idx="862">
                  <c:v>26.283932999999987</c:v>
                </c:pt>
                <c:pt idx="863">
                  <c:v>26.283932999999987</c:v>
                </c:pt>
                <c:pt idx="864">
                  <c:v>26.283932999999987</c:v>
                </c:pt>
                <c:pt idx="865">
                  <c:v>26.283932999999987</c:v>
                </c:pt>
                <c:pt idx="866">
                  <c:v>26.283932999999987</c:v>
                </c:pt>
                <c:pt idx="867">
                  <c:v>26.283932999999987</c:v>
                </c:pt>
                <c:pt idx="868">
                  <c:v>26.283932999999987</c:v>
                </c:pt>
                <c:pt idx="869">
                  <c:v>26.283932999999987</c:v>
                </c:pt>
                <c:pt idx="870">
                  <c:v>26.283932999999987</c:v>
                </c:pt>
                <c:pt idx="871">
                  <c:v>26.283932999999987</c:v>
                </c:pt>
                <c:pt idx="872">
                  <c:v>26.283932999999987</c:v>
                </c:pt>
                <c:pt idx="873">
                  <c:v>26.283932999999987</c:v>
                </c:pt>
                <c:pt idx="874">
                  <c:v>26.283932999999987</c:v>
                </c:pt>
                <c:pt idx="875">
                  <c:v>26.283932999999987</c:v>
                </c:pt>
                <c:pt idx="876">
                  <c:v>26.283932999999987</c:v>
                </c:pt>
                <c:pt idx="877">
                  <c:v>26.283932999999987</c:v>
                </c:pt>
                <c:pt idx="878">
                  <c:v>26.283932999999987</c:v>
                </c:pt>
                <c:pt idx="879">
                  <c:v>26.283932999999987</c:v>
                </c:pt>
                <c:pt idx="880">
                  <c:v>26.283932999999987</c:v>
                </c:pt>
                <c:pt idx="881">
                  <c:v>26.283932999999987</c:v>
                </c:pt>
                <c:pt idx="882">
                  <c:v>26.283932999999987</c:v>
                </c:pt>
                <c:pt idx="883">
                  <c:v>26.283932999999987</c:v>
                </c:pt>
                <c:pt idx="884">
                  <c:v>26.283932999999987</c:v>
                </c:pt>
                <c:pt idx="885">
                  <c:v>26.283932999999987</c:v>
                </c:pt>
                <c:pt idx="886">
                  <c:v>26.283932999999987</c:v>
                </c:pt>
                <c:pt idx="887">
                  <c:v>26.283932999999987</c:v>
                </c:pt>
                <c:pt idx="888">
                  <c:v>26.283932999999987</c:v>
                </c:pt>
                <c:pt idx="889">
                  <c:v>26.283932999999987</c:v>
                </c:pt>
                <c:pt idx="890">
                  <c:v>26.283932999999987</c:v>
                </c:pt>
                <c:pt idx="891">
                  <c:v>26.283932999999987</c:v>
                </c:pt>
                <c:pt idx="892">
                  <c:v>26.283932999999987</c:v>
                </c:pt>
                <c:pt idx="893">
                  <c:v>26.283932999999987</c:v>
                </c:pt>
                <c:pt idx="894">
                  <c:v>26.283932999999987</c:v>
                </c:pt>
                <c:pt idx="895">
                  <c:v>26.283932999999987</c:v>
                </c:pt>
                <c:pt idx="896">
                  <c:v>26.283932999999987</c:v>
                </c:pt>
                <c:pt idx="897">
                  <c:v>26.283932999999987</c:v>
                </c:pt>
                <c:pt idx="898">
                  <c:v>26.283932999999987</c:v>
                </c:pt>
                <c:pt idx="899">
                  <c:v>26.283932999999987</c:v>
                </c:pt>
                <c:pt idx="900">
                  <c:v>26.283932999999987</c:v>
                </c:pt>
                <c:pt idx="901">
                  <c:v>26.283932999999987</c:v>
                </c:pt>
                <c:pt idx="902">
                  <c:v>26.283932999999987</c:v>
                </c:pt>
                <c:pt idx="903">
                  <c:v>26.283932999999987</c:v>
                </c:pt>
                <c:pt idx="904">
                  <c:v>26.283932999999987</c:v>
                </c:pt>
                <c:pt idx="905">
                  <c:v>26.283932999999987</c:v>
                </c:pt>
                <c:pt idx="906">
                  <c:v>26.283932999999987</c:v>
                </c:pt>
                <c:pt idx="907">
                  <c:v>26.283932999999987</c:v>
                </c:pt>
                <c:pt idx="908">
                  <c:v>26.283932999999987</c:v>
                </c:pt>
                <c:pt idx="909">
                  <c:v>26.283932999999987</c:v>
                </c:pt>
                <c:pt idx="910">
                  <c:v>26.283932999999987</c:v>
                </c:pt>
                <c:pt idx="911">
                  <c:v>26.283932999999987</c:v>
                </c:pt>
                <c:pt idx="912">
                  <c:v>26.283932999999987</c:v>
                </c:pt>
                <c:pt idx="913">
                  <c:v>26.283932999999987</c:v>
                </c:pt>
                <c:pt idx="914">
                  <c:v>26.283932999999987</c:v>
                </c:pt>
                <c:pt idx="915">
                  <c:v>26.283932999999987</c:v>
                </c:pt>
                <c:pt idx="916">
                  <c:v>26.283932999999987</c:v>
                </c:pt>
                <c:pt idx="917">
                  <c:v>26.283932999999987</c:v>
                </c:pt>
                <c:pt idx="918">
                  <c:v>26.283932999999987</c:v>
                </c:pt>
                <c:pt idx="919">
                  <c:v>26.283932999999987</c:v>
                </c:pt>
                <c:pt idx="920">
                  <c:v>26.283932999999987</c:v>
                </c:pt>
                <c:pt idx="921">
                  <c:v>26.283932999999987</c:v>
                </c:pt>
                <c:pt idx="922">
                  <c:v>26.283932999999987</c:v>
                </c:pt>
                <c:pt idx="923">
                  <c:v>26.283932999999987</c:v>
                </c:pt>
                <c:pt idx="924">
                  <c:v>26.283932999999987</c:v>
                </c:pt>
                <c:pt idx="925">
                  <c:v>26.283932999999987</c:v>
                </c:pt>
                <c:pt idx="926">
                  <c:v>26.283932999999987</c:v>
                </c:pt>
                <c:pt idx="927">
                  <c:v>26.283932999999987</c:v>
                </c:pt>
                <c:pt idx="928">
                  <c:v>26.283932999999987</c:v>
                </c:pt>
                <c:pt idx="929">
                  <c:v>26.283932999999987</c:v>
                </c:pt>
                <c:pt idx="930">
                  <c:v>26.283932999999987</c:v>
                </c:pt>
                <c:pt idx="931">
                  <c:v>26.283932999999987</c:v>
                </c:pt>
                <c:pt idx="932">
                  <c:v>26.283932999999987</c:v>
                </c:pt>
                <c:pt idx="933">
                  <c:v>26.283932999999987</c:v>
                </c:pt>
                <c:pt idx="934">
                  <c:v>26.283932999999987</c:v>
                </c:pt>
                <c:pt idx="935">
                  <c:v>26.283932999999987</c:v>
                </c:pt>
                <c:pt idx="936">
                  <c:v>26.283932999999987</c:v>
                </c:pt>
                <c:pt idx="937">
                  <c:v>26.283932999999987</c:v>
                </c:pt>
                <c:pt idx="938">
                  <c:v>26.283932999999987</c:v>
                </c:pt>
                <c:pt idx="939">
                  <c:v>26.283932999999987</c:v>
                </c:pt>
                <c:pt idx="940">
                  <c:v>26.283932999999987</c:v>
                </c:pt>
                <c:pt idx="941">
                  <c:v>26.283932999999987</c:v>
                </c:pt>
                <c:pt idx="942">
                  <c:v>26.283932999999987</c:v>
                </c:pt>
                <c:pt idx="943">
                  <c:v>26.283932999999987</c:v>
                </c:pt>
                <c:pt idx="944">
                  <c:v>26.283932999999987</c:v>
                </c:pt>
                <c:pt idx="945">
                  <c:v>26.283932999999987</c:v>
                </c:pt>
                <c:pt idx="946">
                  <c:v>26.283932999999987</c:v>
                </c:pt>
                <c:pt idx="947">
                  <c:v>26.283932999999987</c:v>
                </c:pt>
                <c:pt idx="948">
                  <c:v>26.283932999999987</c:v>
                </c:pt>
                <c:pt idx="949">
                  <c:v>26.283932999999987</c:v>
                </c:pt>
                <c:pt idx="950">
                  <c:v>26.283932999999987</c:v>
                </c:pt>
                <c:pt idx="951">
                  <c:v>26.283932999999987</c:v>
                </c:pt>
                <c:pt idx="952">
                  <c:v>26.283932999999987</c:v>
                </c:pt>
                <c:pt idx="953">
                  <c:v>26.283932999999987</c:v>
                </c:pt>
                <c:pt idx="954">
                  <c:v>26.283932999999987</c:v>
                </c:pt>
                <c:pt idx="955">
                  <c:v>26.283932999999987</c:v>
                </c:pt>
                <c:pt idx="956">
                  <c:v>26.283932999999987</c:v>
                </c:pt>
                <c:pt idx="957">
                  <c:v>26.283932999999987</c:v>
                </c:pt>
                <c:pt idx="958">
                  <c:v>26.283932999999987</c:v>
                </c:pt>
                <c:pt idx="959">
                  <c:v>26.283932999999987</c:v>
                </c:pt>
                <c:pt idx="960">
                  <c:v>26.283932999999987</c:v>
                </c:pt>
                <c:pt idx="961">
                  <c:v>26.283932999999987</c:v>
                </c:pt>
                <c:pt idx="962">
                  <c:v>26.283932999999987</c:v>
                </c:pt>
                <c:pt idx="963">
                  <c:v>26.283932999999987</c:v>
                </c:pt>
                <c:pt idx="964">
                  <c:v>26.283932999999987</c:v>
                </c:pt>
                <c:pt idx="965">
                  <c:v>26.283932999999987</c:v>
                </c:pt>
                <c:pt idx="966">
                  <c:v>26.283932999999987</c:v>
                </c:pt>
                <c:pt idx="967">
                  <c:v>26.283932999999987</c:v>
                </c:pt>
                <c:pt idx="968">
                  <c:v>26.283932999999987</c:v>
                </c:pt>
                <c:pt idx="969">
                  <c:v>26.283932999999987</c:v>
                </c:pt>
                <c:pt idx="970">
                  <c:v>26.283932999999987</c:v>
                </c:pt>
                <c:pt idx="971">
                  <c:v>26.283932999999987</c:v>
                </c:pt>
                <c:pt idx="972">
                  <c:v>26.283932999999987</c:v>
                </c:pt>
                <c:pt idx="973">
                  <c:v>26.283932999999987</c:v>
                </c:pt>
                <c:pt idx="974">
                  <c:v>26.283932999999987</c:v>
                </c:pt>
                <c:pt idx="975">
                  <c:v>26.283932999999987</c:v>
                </c:pt>
                <c:pt idx="976">
                  <c:v>26.283932999999987</c:v>
                </c:pt>
                <c:pt idx="977">
                  <c:v>26.283932999999987</c:v>
                </c:pt>
                <c:pt idx="978">
                  <c:v>26.283932999999987</c:v>
                </c:pt>
                <c:pt idx="979">
                  <c:v>26.283932999999987</c:v>
                </c:pt>
                <c:pt idx="980">
                  <c:v>26.283932999999987</c:v>
                </c:pt>
                <c:pt idx="981">
                  <c:v>26.283932999999987</c:v>
                </c:pt>
                <c:pt idx="982">
                  <c:v>26.283932999999987</c:v>
                </c:pt>
                <c:pt idx="983">
                  <c:v>26.283932999999987</c:v>
                </c:pt>
                <c:pt idx="984">
                  <c:v>26.283932999999987</c:v>
                </c:pt>
                <c:pt idx="985">
                  <c:v>26.283932999999987</c:v>
                </c:pt>
                <c:pt idx="986">
                  <c:v>26.283932999999987</c:v>
                </c:pt>
                <c:pt idx="987">
                  <c:v>26.283932999999987</c:v>
                </c:pt>
                <c:pt idx="988">
                  <c:v>26.283932999999987</c:v>
                </c:pt>
                <c:pt idx="989">
                  <c:v>26.283932999999987</c:v>
                </c:pt>
                <c:pt idx="990">
                  <c:v>26.283932999999987</c:v>
                </c:pt>
                <c:pt idx="991">
                  <c:v>26.283932999999987</c:v>
                </c:pt>
                <c:pt idx="992">
                  <c:v>26.283932999999987</c:v>
                </c:pt>
                <c:pt idx="993">
                  <c:v>26.283932999999987</c:v>
                </c:pt>
                <c:pt idx="994">
                  <c:v>26.283932999999987</c:v>
                </c:pt>
                <c:pt idx="995">
                  <c:v>26.283932999999987</c:v>
                </c:pt>
                <c:pt idx="996">
                  <c:v>26.283932999999987</c:v>
                </c:pt>
                <c:pt idx="997">
                  <c:v>26.283932999999987</c:v>
                </c:pt>
                <c:pt idx="998">
                  <c:v>26.283932999999987</c:v>
                </c:pt>
                <c:pt idx="999">
                  <c:v>26.283932999999987</c:v>
                </c:pt>
                <c:pt idx="1000">
                  <c:v>26.283932999999987</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35.100000000000186</c:v>
                </c:pt>
                <c:pt idx="500">
                  <c:v>35.200000000000188</c:v>
                </c:pt>
                <c:pt idx="501">
                  <c:v>35.300000000000189</c:v>
                </c:pt>
                <c:pt idx="502">
                  <c:v>35.40000000000019</c:v>
                </c:pt>
                <c:pt idx="503">
                  <c:v>35.500000000000192</c:v>
                </c:pt>
                <c:pt idx="504">
                  <c:v>35.600000000000193</c:v>
                </c:pt>
                <c:pt idx="505">
                  <c:v>35.700000000000195</c:v>
                </c:pt>
                <c:pt idx="506">
                  <c:v>35.800000000000196</c:v>
                </c:pt>
                <c:pt idx="507">
                  <c:v>35.900000000000198</c:v>
                </c:pt>
                <c:pt idx="508">
                  <c:v>36.000000000000199</c:v>
                </c:pt>
                <c:pt idx="509">
                  <c:v>36.1000000000002</c:v>
                </c:pt>
                <c:pt idx="510">
                  <c:v>36.200000000000202</c:v>
                </c:pt>
                <c:pt idx="511">
                  <c:v>36.300000000000203</c:v>
                </c:pt>
                <c:pt idx="512">
                  <c:v>36.400000000000205</c:v>
                </c:pt>
                <c:pt idx="513">
                  <c:v>36.500000000000206</c:v>
                </c:pt>
                <c:pt idx="514">
                  <c:v>36.600000000000207</c:v>
                </c:pt>
                <c:pt idx="515">
                  <c:v>36.600100000000211</c:v>
                </c:pt>
                <c:pt idx="516">
                  <c:v>36.600200000000214</c:v>
                </c:pt>
                <c:pt idx="517">
                  <c:v>36.600300000000217</c:v>
                </c:pt>
                <c:pt idx="518">
                  <c:v>36.600400000000221</c:v>
                </c:pt>
                <c:pt idx="519">
                  <c:v>36.600500000000224</c:v>
                </c:pt>
                <c:pt idx="520">
                  <c:v>36.600600000000227</c:v>
                </c:pt>
                <c:pt idx="521">
                  <c:v>36.600700000000231</c:v>
                </c:pt>
                <c:pt idx="522">
                  <c:v>36.600800000000234</c:v>
                </c:pt>
                <c:pt idx="523">
                  <c:v>36.600900000000237</c:v>
                </c:pt>
                <c:pt idx="524">
                  <c:v>36.601000000000241</c:v>
                </c:pt>
                <c:pt idx="525">
                  <c:v>36.601100000000244</c:v>
                </c:pt>
                <c:pt idx="526">
                  <c:v>36.601200000000247</c:v>
                </c:pt>
                <c:pt idx="527">
                  <c:v>36.601300000000251</c:v>
                </c:pt>
                <c:pt idx="528">
                  <c:v>36.601400000000254</c:v>
                </c:pt>
                <c:pt idx="529">
                  <c:v>36.601500000000257</c:v>
                </c:pt>
                <c:pt idx="530">
                  <c:v>36.601600000000261</c:v>
                </c:pt>
                <c:pt idx="531">
                  <c:v>36.601700000000264</c:v>
                </c:pt>
                <c:pt idx="532">
                  <c:v>36.601800000000267</c:v>
                </c:pt>
                <c:pt idx="533">
                  <c:v>36.601900000000271</c:v>
                </c:pt>
                <c:pt idx="534">
                  <c:v>36.602000000000274</c:v>
                </c:pt>
                <c:pt idx="535">
                  <c:v>36.602100000000277</c:v>
                </c:pt>
                <c:pt idx="536">
                  <c:v>36.602200000000281</c:v>
                </c:pt>
                <c:pt idx="537">
                  <c:v>36.602300000000284</c:v>
                </c:pt>
                <c:pt idx="538">
                  <c:v>36.602400000000287</c:v>
                </c:pt>
                <c:pt idx="539">
                  <c:v>36.60250000000029</c:v>
                </c:pt>
                <c:pt idx="540">
                  <c:v>36.602600000000294</c:v>
                </c:pt>
                <c:pt idx="541">
                  <c:v>36.602700000000297</c:v>
                </c:pt>
                <c:pt idx="542">
                  <c:v>36.6028000000003</c:v>
                </c:pt>
                <c:pt idx="543">
                  <c:v>36.602900000000304</c:v>
                </c:pt>
                <c:pt idx="544">
                  <c:v>36.603000000000307</c:v>
                </c:pt>
                <c:pt idx="545">
                  <c:v>36.60310000000031</c:v>
                </c:pt>
                <c:pt idx="546">
                  <c:v>36.603200000000314</c:v>
                </c:pt>
                <c:pt idx="547">
                  <c:v>36.603300000000317</c:v>
                </c:pt>
                <c:pt idx="548">
                  <c:v>36.60340000000032</c:v>
                </c:pt>
                <c:pt idx="549">
                  <c:v>36.603500000000324</c:v>
                </c:pt>
                <c:pt idx="550">
                  <c:v>36.603600000000327</c:v>
                </c:pt>
                <c:pt idx="551">
                  <c:v>36.60370000000033</c:v>
                </c:pt>
                <c:pt idx="552">
                  <c:v>36.603800000000334</c:v>
                </c:pt>
                <c:pt idx="553">
                  <c:v>36.603900000000337</c:v>
                </c:pt>
                <c:pt idx="554">
                  <c:v>36.60400000000034</c:v>
                </c:pt>
                <c:pt idx="555">
                  <c:v>36.604100000000344</c:v>
                </c:pt>
                <c:pt idx="556">
                  <c:v>36.604200000000347</c:v>
                </c:pt>
                <c:pt idx="557">
                  <c:v>36.60430000000035</c:v>
                </c:pt>
                <c:pt idx="558">
                  <c:v>36.604400000000354</c:v>
                </c:pt>
                <c:pt idx="559">
                  <c:v>36.604500000000357</c:v>
                </c:pt>
                <c:pt idx="560">
                  <c:v>36.60460000000036</c:v>
                </c:pt>
                <c:pt idx="561">
                  <c:v>36.604700000000364</c:v>
                </c:pt>
                <c:pt idx="562">
                  <c:v>36.604800000000367</c:v>
                </c:pt>
                <c:pt idx="563">
                  <c:v>36.60490000000037</c:v>
                </c:pt>
                <c:pt idx="564">
                  <c:v>36.605000000000373</c:v>
                </c:pt>
                <c:pt idx="565">
                  <c:v>36.605100000000377</c:v>
                </c:pt>
                <c:pt idx="566">
                  <c:v>36.60520000000038</c:v>
                </c:pt>
                <c:pt idx="567">
                  <c:v>36.605300000000383</c:v>
                </c:pt>
                <c:pt idx="568">
                  <c:v>36.605400000000387</c:v>
                </c:pt>
                <c:pt idx="569">
                  <c:v>36.60550000000039</c:v>
                </c:pt>
                <c:pt idx="570">
                  <c:v>36.605600000000393</c:v>
                </c:pt>
                <c:pt idx="571">
                  <c:v>36.605700000000397</c:v>
                </c:pt>
                <c:pt idx="572">
                  <c:v>36.6058000000004</c:v>
                </c:pt>
                <c:pt idx="573">
                  <c:v>36.605900000000403</c:v>
                </c:pt>
                <c:pt idx="574">
                  <c:v>36.606000000000407</c:v>
                </c:pt>
                <c:pt idx="575">
                  <c:v>36.60610000000041</c:v>
                </c:pt>
                <c:pt idx="576">
                  <c:v>36.606200000000413</c:v>
                </c:pt>
                <c:pt idx="577">
                  <c:v>36.606300000000417</c:v>
                </c:pt>
                <c:pt idx="578">
                  <c:v>36.60640000000042</c:v>
                </c:pt>
                <c:pt idx="579">
                  <c:v>36.606500000000423</c:v>
                </c:pt>
                <c:pt idx="580">
                  <c:v>36.606600000000427</c:v>
                </c:pt>
                <c:pt idx="581">
                  <c:v>36.60670000000043</c:v>
                </c:pt>
                <c:pt idx="582">
                  <c:v>36.606800000000433</c:v>
                </c:pt>
                <c:pt idx="583">
                  <c:v>36.606900000000437</c:v>
                </c:pt>
                <c:pt idx="584">
                  <c:v>36.60700000000044</c:v>
                </c:pt>
                <c:pt idx="585">
                  <c:v>36.607100000000443</c:v>
                </c:pt>
                <c:pt idx="586">
                  <c:v>36.607200000000446</c:v>
                </c:pt>
                <c:pt idx="587">
                  <c:v>36.60730000000045</c:v>
                </c:pt>
                <c:pt idx="588">
                  <c:v>36.607400000000453</c:v>
                </c:pt>
                <c:pt idx="589">
                  <c:v>36.607500000000456</c:v>
                </c:pt>
                <c:pt idx="590">
                  <c:v>36.60760000000046</c:v>
                </c:pt>
                <c:pt idx="591">
                  <c:v>36.607700000000463</c:v>
                </c:pt>
                <c:pt idx="592">
                  <c:v>36.607800000000466</c:v>
                </c:pt>
                <c:pt idx="593">
                  <c:v>36.60790000000047</c:v>
                </c:pt>
                <c:pt idx="594">
                  <c:v>36.608000000000473</c:v>
                </c:pt>
                <c:pt idx="595">
                  <c:v>36.608100000000476</c:v>
                </c:pt>
                <c:pt idx="596">
                  <c:v>36.60820000000048</c:v>
                </c:pt>
                <c:pt idx="597">
                  <c:v>36.608300000000483</c:v>
                </c:pt>
                <c:pt idx="598">
                  <c:v>36.608400000000486</c:v>
                </c:pt>
                <c:pt idx="599">
                  <c:v>36.60850000000049</c:v>
                </c:pt>
                <c:pt idx="600">
                  <c:v>36.608600000000493</c:v>
                </c:pt>
                <c:pt idx="601">
                  <c:v>36.608700000000496</c:v>
                </c:pt>
                <c:pt idx="602">
                  <c:v>36.6088000000005</c:v>
                </c:pt>
                <c:pt idx="603">
                  <c:v>36.608900000000503</c:v>
                </c:pt>
                <c:pt idx="604">
                  <c:v>36.609000000000506</c:v>
                </c:pt>
                <c:pt idx="605">
                  <c:v>36.60910000000051</c:v>
                </c:pt>
                <c:pt idx="606">
                  <c:v>36.609200000000513</c:v>
                </c:pt>
                <c:pt idx="607">
                  <c:v>36.609300000000516</c:v>
                </c:pt>
                <c:pt idx="608">
                  <c:v>36.60940000000052</c:v>
                </c:pt>
                <c:pt idx="609">
                  <c:v>36.609500000000523</c:v>
                </c:pt>
                <c:pt idx="610">
                  <c:v>36.609600000000526</c:v>
                </c:pt>
                <c:pt idx="611">
                  <c:v>36.609700000000529</c:v>
                </c:pt>
                <c:pt idx="612">
                  <c:v>36.609800000000533</c:v>
                </c:pt>
                <c:pt idx="613">
                  <c:v>36.609900000000536</c:v>
                </c:pt>
                <c:pt idx="614">
                  <c:v>36.610000000000539</c:v>
                </c:pt>
                <c:pt idx="615">
                  <c:v>36.610100000000543</c:v>
                </c:pt>
                <c:pt idx="616">
                  <c:v>36.610200000000546</c:v>
                </c:pt>
                <c:pt idx="617">
                  <c:v>36.610300000000549</c:v>
                </c:pt>
                <c:pt idx="618">
                  <c:v>36.610400000000553</c:v>
                </c:pt>
                <c:pt idx="619">
                  <c:v>36.610500000000556</c:v>
                </c:pt>
                <c:pt idx="620">
                  <c:v>36.610600000000559</c:v>
                </c:pt>
                <c:pt idx="621">
                  <c:v>36.610700000000563</c:v>
                </c:pt>
                <c:pt idx="622">
                  <c:v>36.610800000000566</c:v>
                </c:pt>
                <c:pt idx="623">
                  <c:v>36.610900000000569</c:v>
                </c:pt>
                <c:pt idx="624">
                  <c:v>36.611000000000573</c:v>
                </c:pt>
                <c:pt idx="625">
                  <c:v>36.611100000000576</c:v>
                </c:pt>
                <c:pt idx="626">
                  <c:v>36.611200000000579</c:v>
                </c:pt>
                <c:pt idx="627">
                  <c:v>36.611300000000583</c:v>
                </c:pt>
                <c:pt idx="628">
                  <c:v>36.611400000000586</c:v>
                </c:pt>
                <c:pt idx="629">
                  <c:v>36.611500000000589</c:v>
                </c:pt>
                <c:pt idx="630">
                  <c:v>36.611600000000593</c:v>
                </c:pt>
                <c:pt idx="631">
                  <c:v>36.611700000000596</c:v>
                </c:pt>
                <c:pt idx="632">
                  <c:v>36.611800000000599</c:v>
                </c:pt>
                <c:pt idx="633">
                  <c:v>36.611900000000603</c:v>
                </c:pt>
                <c:pt idx="634">
                  <c:v>36.612000000000606</c:v>
                </c:pt>
                <c:pt idx="635">
                  <c:v>36.612100000000609</c:v>
                </c:pt>
                <c:pt idx="636">
                  <c:v>36.612200000000612</c:v>
                </c:pt>
                <c:pt idx="637">
                  <c:v>36.612300000000616</c:v>
                </c:pt>
                <c:pt idx="638">
                  <c:v>36.612400000000619</c:v>
                </c:pt>
                <c:pt idx="639">
                  <c:v>36.612500000000622</c:v>
                </c:pt>
                <c:pt idx="640">
                  <c:v>36.612600000000626</c:v>
                </c:pt>
                <c:pt idx="641">
                  <c:v>36.612700000000629</c:v>
                </c:pt>
                <c:pt idx="642">
                  <c:v>36.612800000000632</c:v>
                </c:pt>
                <c:pt idx="643">
                  <c:v>36.612900000000636</c:v>
                </c:pt>
                <c:pt idx="644">
                  <c:v>36.613000000000639</c:v>
                </c:pt>
                <c:pt idx="645">
                  <c:v>36.613100000000642</c:v>
                </c:pt>
                <c:pt idx="646">
                  <c:v>36.613200000000646</c:v>
                </c:pt>
                <c:pt idx="647">
                  <c:v>36.613300000000649</c:v>
                </c:pt>
                <c:pt idx="648">
                  <c:v>36.613400000000652</c:v>
                </c:pt>
                <c:pt idx="649">
                  <c:v>36.613500000000656</c:v>
                </c:pt>
                <c:pt idx="650">
                  <c:v>36.613600000000659</c:v>
                </c:pt>
                <c:pt idx="651">
                  <c:v>36.613700000000662</c:v>
                </c:pt>
                <c:pt idx="652">
                  <c:v>36.613800000000666</c:v>
                </c:pt>
                <c:pt idx="653">
                  <c:v>36.613900000000669</c:v>
                </c:pt>
                <c:pt idx="654">
                  <c:v>36.614000000000672</c:v>
                </c:pt>
                <c:pt idx="655">
                  <c:v>36.614100000000676</c:v>
                </c:pt>
                <c:pt idx="656">
                  <c:v>36.614200000000679</c:v>
                </c:pt>
                <c:pt idx="657">
                  <c:v>36.614300000000682</c:v>
                </c:pt>
                <c:pt idx="658">
                  <c:v>36.614400000000686</c:v>
                </c:pt>
                <c:pt idx="659">
                  <c:v>36.614500000000689</c:v>
                </c:pt>
                <c:pt idx="660">
                  <c:v>36.614600000000692</c:v>
                </c:pt>
                <c:pt idx="661">
                  <c:v>36.614700000000695</c:v>
                </c:pt>
                <c:pt idx="662">
                  <c:v>36.614800000000699</c:v>
                </c:pt>
                <c:pt idx="663">
                  <c:v>36.614900000000702</c:v>
                </c:pt>
                <c:pt idx="664">
                  <c:v>36.615000000000705</c:v>
                </c:pt>
                <c:pt idx="665">
                  <c:v>36.615100000000709</c:v>
                </c:pt>
                <c:pt idx="666">
                  <c:v>36.615200000000712</c:v>
                </c:pt>
                <c:pt idx="667">
                  <c:v>36.615300000000715</c:v>
                </c:pt>
                <c:pt idx="668">
                  <c:v>36.615400000000719</c:v>
                </c:pt>
                <c:pt idx="669">
                  <c:v>36.615500000000722</c:v>
                </c:pt>
                <c:pt idx="670">
                  <c:v>36.615600000000725</c:v>
                </c:pt>
                <c:pt idx="671">
                  <c:v>36.615700000000729</c:v>
                </c:pt>
                <c:pt idx="672">
                  <c:v>36.615800000000732</c:v>
                </c:pt>
                <c:pt idx="673">
                  <c:v>36.615900000000735</c:v>
                </c:pt>
                <c:pt idx="674">
                  <c:v>36.616000000000739</c:v>
                </c:pt>
                <c:pt idx="675">
                  <c:v>36.616100000000742</c:v>
                </c:pt>
                <c:pt idx="676">
                  <c:v>36.616200000000745</c:v>
                </c:pt>
                <c:pt idx="677">
                  <c:v>36.616300000000749</c:v>
                </c:pt>
                <c:pt idx="678">
                  <c:v>36.616400000000752</c:v>
                </c:pt>
                <c:pt idx="679">
                  <c:v>36.616500000000755</c:v>
                </c:pt>
                <c:pt idx="680">
                  <c:v>36.616600000000759</c:v>
                </c:pt>
                <c:pt idx="681">
                  <c:v>36.616700000000762</c:v>
                </c:pt>
                <c:pt idx="682">
                  <c:v>36.616800000000765</c:v>
                </c:pt>
                <c:pt idx="683">
                  <c:v>36.616900000000769</c:v>
                </c:pt>
                <c:pt idx="684">
                  <c:v>36.617000000000772</c:v>
                </c:pt>
                <c:pt idx="685">
                  <c:v>36.617100000000775</c:v>
                </c:pt>
                <c:pt idx="686">
                  <c:v>36.617200000000778</c:v>
                </c:pt>
                <c:pt idx="687">
                  <c:v>36.617300000000782</c:v>
                </c:pt>
                <c:pt idx="688">
                  <c:v>36.617400000000785</c:v>
                </c:pt>
                <c:pt idx="689">
                  <c:v>36.617500000000788</c:v>
                </c:pt>
                <c:pt idx="690">
                  <c:v>36.617600000000792</c:v>
                </c:pt>
                <c:pt idx="691">
                  <c:v>36.617700000000795</c:v>
                </c:pt>
                <c:pt idx="692">
                  <c:v>36.617800000000798</c:v>
                </c:pt>
                <c:pt idx="693">
                  <c:v>36.617900000000802</c:v>
                </c:pt>
                <c:pt idx="694">
                  <c:v>36.618000000000805</c:v>
                </c:pt>
                <c:pt idx="695">
                  <c:v>36.618100000000808</c:v>
                </c:pt>
                <c:pt idx="696">
                  <c:v>36.618200000000812</c:v>
                </c:pt>
                <c:pt idx="697">
                  <c:v>36.618300000000815</c:v>
                </c:pt>
                <c:pt idx="698">
                  <c:v>36.618400000000818</c:v>
                </c:pt>
                <c:pt idx="699">
                  <c:v>36.618500000000822</c:v>
                </c:pt>
                <c:pt idx="700">
                  <c:v>36.618600000000825</c:v>
                </c:pt>
                <c:pt idx="701">
                  <c:v>36.618700000000828</c:v>
                </c:pt>
                <c:pt idx="702">
                  <c:v>36.618800000000832</c:v>
                </c:pt>
                <c:pt idx="703">
                  <c:v>36.618900000000835</c:v>
                </c:pt>
                <c:pt idx="704">
                  <c:v>36.619000000000838</c:v>
                </c:pt>
                <c:pt idx="705">
                  <c:v>36.619100000000842</c:v>
                </c:pt>
                <c:pt idx="706">
                  <c:v>36.619200000000845</c:v>
                </c:pt>
                <c:pt idx="707">
                  <c:v>36.619300000000848</c:v>
                </c:pt>
                <c:pt idx="708">
                  <c:v>36.619400000000851</c:v>
                </c:pt>
                <c:pt idx="709">
                  <c:v>36.619500000000855</c:v>
                </c:pt>
                <c:pt idx="710">
                  <c:v>36.619600000000858</c:v>
                </c:pt>
                <c:pt idx="711">
                  <c:v>36.619700000000861</c:v>
                </c:pt>
                <c:pt idx="712">
                  <c:v>36.619800000000865</c:v>
                </c:pt>
                <c:pt idx="713">
                  <c:v>36.619900000000868</c:v>
                </c:pt>
                <c:pt idx="714">
                  <c:v>36.620000000000871</c:v>
                </c:pt>
                <c:pt idx="715">
                  <c:v>36.620100000000875</c:v>
                </c:pt>
                <c:pt idx="716">
                  <c:v>36.620200000000878</c:v>
                </c:pt>
                <c:pt idx="717">
                  <c:v>36.620300000000881</c:v>
                </c:pt>
                <c:pt idx="718">
                  <c:v>36.620400000000885</c:v>
                </c:pt>
                <c:pt idx="719">
                  <c:v>36.620500000000888</c:v>
                </c:pt>
                <c:pt idx="720">
                  <c:v>36.620600000000891</c:v>
                </c:pt>
                <c:pt idx="721">
                  <c:v>36.620700000000895</c:v>
                </c:pt>
                <c:pt idx="722">
                  <c:v>36.620800000000898</c:v>
                </c:pt>
                <c:pt idx="723">
                  <c:v>36.620900000000901</c:v>
                </c:pt>
                <c:pt idx="724">
                  <c:v>36.621000000000905</c:v>
                </c:pt>
                <c:pt idx="725">
                  <c:v>36.621100000000908</c:v>
                </c:pt>
                <c:pt idx="726">
                  <c:v>36.621200000000911</c:v>
                </c:pt>
                <c:pt idx="727">
                  <c:v>36.621300000000915</c:v>
                </c:pt>
                <c:pt idx="728">
                  <c:v>36.621400000000918</c:v>
                </c:pt>
                <c:pt idx="729">
                  <c:v>36.621500000000921</c:v>
                </c:pt>
                <c:pt idx="730">
                  <c:v>36.621600000000925</c:v>
                </c:pt>
                <c:pt idx="731">
                  <c:v>36.621700000000928</c:v>
                </c:pt>
                <c:pt idx="732">
                  <c:v>36.621800000000931</c:v>
                </c:pt>
                <c:pt idx="733">
                  <c:v>36.621900000000934</c:v>
                </c:pt>
                <c:pt idx="734">
                  <c:v>36.622000000000938</c:v>
                </c:pt>
                <c:pt idx="735">
                  <c:v>36.622100000000941</c:v>
                </c:pt>
                <c:pt idx="736">
                  <c:v>36.622200000000944</c:v>
                </c:pt>
                <c:pt idx="737">
                  <c:v>36.622300000000948</c:v>
                </c:pt>
                <c:pt idx="738">
                  <c:v>36.622400000000951</c:v>
                </c:pt>
                <c:pt idx="739">
                  <c:v>36.622500000000954</c:v>
                </c:pt>
                <c:pt idx="740">
                  <c:v>36.622600000000958</c:v>
                </c:pt>
                <c:pt idx="741">
                  <c:v>36.622700000000961</c:v>
                </c:pt>
                <c:pt idx="742">
                  <c:v>36.622800000000964</c:v>
                </c:pt>
                <c:pt idx="743">
                  <c:v>36.622900000000968</c:v>
                </c:pt>
                <c:pt idx="744">
                  <c:v>36.623000000000971</c:v>
                </c:pt>
                <c:pt idx="745">
                  <c:v>36.623100000000974</c:v>
                </c:pt>
                <c:pt idx="746">
                  <c:v>36.623200000000978</c:v>
                </c:pt>
                <c:pt idx="747">
                  <c:v>36.623300000000981</c:v>
                </c:pt>
                <c:pt idx="748">
                  <c:v>36.623400000000984</c:v>
                </c:pt>
                <c:pt idx="749">
                  <c:v>36.623500000000988</c:v>
                </c:pt>
                <c:pt idx="750">
                  <c:v>36.623600000000991</c:v>
                </c:pt>
                <c:pt idx="751">
                  <c:v>36.623700000000994</c:v>
                </c:pt>
                <c:pt idx="752">
                  <c:v>36.623800000000998</c:v>
                </c:pt>
                <c:pt idx="753">
                  <c:v>36.623900000001001</c:v>
                </c:pt>
                <c:pt idx="754">
                  <c:v>36.624000000001004</c:v>
                </c:pt>
                <c:pt idx="755">
                  <c:v>36.624100000001008</c:v>
                </c:pt>
                <c:pt idx="756">
                  <c:v>36.624200000001011</c:v>
                </c:pt>
                <c:pt idx="757">
                  <c:v>36.624300000001014</c:v>
                </c:pt>
                <c:pt idx="758">
                  <c:v>36.624400000001017</c:v>
                </c:pt>
                <c:pt idx="759">
                  <c:v>36.624500000001021</c:v>
                </c:pt>
                <c:pt idx="760">
                  <c:v>36.624600000001024</c:v>
                </c:pt>
                <c:pt idx="761">
                  <c:v>36.624700000001027</c:v>
                </c:pt>
                <c:pt idx="762">
                  <c:v>36.624800000001031</c:v>
                </c:pt>
                <c:pt idx="763">
                  <c:v>36.624900000001034</c:v>
                </c:pt>
                <c:pt idx="764">
                  <c:v>36.625000000001037</c:v>
                </c:pt>
                <c:pt idx="765">
                  <c:v>36.625100000001041</c:v>
                </c:pt>
                <c:pt idx="766">
                  <c:v>36.625200000001044</c:v>
                </c:pt>
                <c:pt idx="767">
                  <c:v>36.625300000001047</c:v>
                </c:pt>
                <c:pt idx="768">
                  <c:v>36.625400000001051</c:v>
                </c:pt>
                <c:pt idx="769">
                  <c:v>36.625500000001054</c:v>
                </c:pt>
                <c:pt idx="770">
                  <c:v>36.625600000001057</c:v>
                </c:pt>
                <c:pt idx="771">
                  <c:v>36.625700000001061</c:v>
                </c:pt>
                <c:pt idx="772">
                  <c:v>36.625800000001064</c:v>
                </c:pt>
                <c:pt idx="773">
                  <c:v>36.625900000001067</c:v>
                </c:pt>
                <c:pt idx="774">
                  <c:v>36.626000000001071</c:v>
                </c:pt>
                <c:pt idx="775">
                  <c:v>36.626100000001074</c:v>
                </c:pt>
                <c:pt idx="776">
                  <c:v>36.626200000001077</c:v>
                </c:pt>
                <c:pt idx="777">
                  <c:v>36.626300000001081</c:v>
                </c:pt>
                <c:pt idx="778">
                  <c:v>36.626400000001084</c:v>
                </c:pt>
                <c:pt idx="779">
                  <c:v>36.626500000001087</c:v>
                </c:pt>
                <c:pt idx="780">
                  <c:v>36.626600000001091</c:v>
                </c:pt>
                <c:pt idx="781">
                  <c:v>36.626700000001094</c:v>
                </c:pt>
                <c:pt idx="782">
                  <c:v>36.626800000001097</c:v>
                </c:pt>
                <c:pt idx="783">
                  <c:v>36.6269000000011</c:v>
                </c:pt>
                <c:pt idx="784">
                  <c:v>36.627000000001104</c:v>
                </c:pt>
                <c:pt idx="785">
                  <c:v>36.627100000001107</c:v>
                </c:pt>
                <c:pt idx="786">
                  <c:v>36.62720000000111</c:v>
                </c:pt>
                <c:pt idx="787">
                  <c:v>36.627300000001114</c:v>
                </c:pt>
                <c:pt idx="788">
                  <c:v>36.627400000001117</c:v>
                </c:pt>
                <c:pt idx="789">
                  <c:v>36.62750000000112</c:v>
                </c:pt>
                <c:pt idx="790">
                  <c:v>36.627600000001124</c:v>
                </c:pt>
                <c:pt idx="791">
                  <c:v>36.627700000001127</c:v>
                </c:pt>
                <c:pt idx="792">
                  <c:v>36.62780000000113</c:v>
                </c:pt>
                <c:pt idx="793">
                  <c:v>36.627900000001134</c:v>
                </c:pt>
                <c:pt idx="794">
                  <c:v>36.628000000001137</c:v>
                </c:pt>
                <c:pt idx="795">
                  <c:v>36.62810000000114</c:v>
                </c:pt>
                <c:pt idx="796">
                  <c:v>36.628200000001144</c:v>
                </c:pt>
                <c:pt idx="797">
                  <c:v>36.628300000001147</c:v>
                </c:pt>
                <c:pt idx="798">
                  <c:v>36.62840000000115</c:v>
                </c:pt>
                <c:pt idx="799">
                  <c:v>36.628500000001154</c:v>
                </c:pt>
                <c:pt idx="800">
                  <c:v>36.628600000001157</c:v>
                </c:pt>
                <c:pt idx="801">
                  <c:v>36.62870000000116</c:v>
                </c:pt>
                <c:pt idx="802">
                  <c:v>36.628800000001164</c:v>
                </c:pt>
                <c:pt idx="803">
                  <c:v>36.628900000001167</c:v>
                </c:pt>
                <c:pt idx="804">
                  <c:v>36.62900000000117</c:v>
                </c:pt>
                <c:pt idx="805">
                  <c:v>36.629100000001173</c:v>
                </c:pt>
                <c:pt idx="806">
                  <c:v>36.629200000001177</c:v>
                </c:pt>
                <c:pt idx="807">
                  <c:v>36.62930000000118</c:v>
                </c:pt>
                <c:pt idx="808">
                  <c:v>36.629400000001183</c:v>
                </c:pt>
                <c:pt idx="809">
                  <c:v>36.629500000001187</c:v>
                </c:pt>
                <c:pt idx="810">
                  <c:v>36.62960000000119</c:v>
                </c:pt>
                <c:pt idx="811">
                  <c:v>36.629700000001193</c:v>
                </c:pt>
                <c:pt idx="812">
                  <c:v>36.629800000001197</c:v>
                </c:pt>
                <c:pt idx="813">
                  <c:v>36.6299000000012</c:v>
                </c:pt>
                <c:pt idx="814">
                  <c:v>36.630000000001203</c:v>
                </c:pt>
                <c:pt idx="815">
                  <c:v>36.630100000001207</c:v>
                </c:pt>
                <c:pt idx="816">
                  <c:v>36.63020000000121</c:v>
                </c:pt>
                <c:pt idx="817">
                  <c:v>36.630300000001213</c:v>
                </c:pt>
                <c:pt idx="818">
                  <c:v>36.630400000001217</c:v>
                </c:pt>
                <c:pt idx="819">
                  <c:v>36.63050000000122</c:v>
                </c:pt>
                <c:pt idx="820">
                  <c:v>36.630600000001223</c:v>
                </c:pt>
                <c:pt idx="821">
                  <c:v>36.630700000001227</c:v>
                </c:pt>
                <c:pt idx="822">
                  <c:v>36.63080000000123</c:v>
                </c:pt>
                <c:pt idx="823">
                  <c:v>36.630900000001233</c:v>
                </c:pt>
                <c:pt idx="824">
                  <c:v>36.631000000001237</c:v>
                </c:pt>
                <c:pt idx="825">
                  <c:v>36.63110000000124</c:v>
                </c:pt>
                <c:pt idx="826">
                  <c:v>36.631200000001243</c:v>
                </c:pt>
                <c:pt idx="827">
                  <c:v>36.631300000001247</c:v>
                </c:pt>
                <c:pt idx="828">
                  <c:v>36.63140000000125</c:v>
                </c:pt>
                <c:pt idx="829">
                  <c:v>36.631500000001253</c:v>
                </c:pt>
                <c:pt idx="830">
                  <c:v>36.631600000001256</c:v>
                </c:pt>
                <c:pt idx="831">
                  <c:v>36.63170000000126</c:v>
                </c:pt>
                <c:pt idx="832">
                  <c:v>36.631800000001263</c:v>
                </c:pt>
                <c:pt idx="833">
                  <c:v>36.631900000001266</c:v>
                </c:pt>
                <c:pt idx="834">
                  <c:v>36.63200000000127</c:v>
                </c:pt>
                <c:pt idx="835">
                  <c:v>36.632100000001273</c:v>
                </c:pt>
                <c:pt idx="836">
                  <c:v>36.632200000001276</c:v>
                </c:pt>
                <c:pt idx="837">
                  <c:v>36.63230000000128</c:v>
                </c:pt>
                <c:pt idx="838">
                  <c:v>36.632400000001283</c:v>
                </c:pt>
                <c:pt idx="839">
                  <c:v>36.632500000001286</c:v>
                </c:pt>
                <c:pt idx="840">
                  <c:v>36.63260000000129</c:v>
                </c:pt>
                <c:pt idx="841">
                  <c:v>36.632700000001293</c:v>
                </c:pt>
                <c:pt idx="842">
                  <c:v>36.632800000001296</c:v>
                </c:pt>
                <c:pt idx="843">
                  <c:v>36.6329000000013</c:v>
                </c:pt>
                <c:pt idx="844">
                  <c:v>36.633000000001303</c:v>
                </c:pt>
                <c:pt idx="845">
                  <c:v>36.633100000001306</c:v>
                </c:pt>
                <c:pt idx="846">
                  <c:v>36.63320000000131</c:v>
                </c:pt>
                <c:pt idx="847">
                  <c:v>36.633300000001313</c:v>
                </c:pt>
                <c:pt idx="848">
                  <c:v>36.633400000001316</c:v>
                </c:pt>
                <c:pt idx="849">
                  <c:v>36.63350000000132</c:v>
                </c:pt>
                <c:pt idx="850">
                  <c:v>36.633600000001323</c:v>
                </c:pt>
                <c:pt idx="851">
                  <c:v>36.633700000001326</c:v>
                </c:pt>
                <c:pt idx="852">
                  <c:v>36.63380000000133</c:v>
                </c:pt>
                <c:pt idx="853">
                  <c:v>36.633900000001333</c:v>
                </c:pt>
                <c:pt idx="854">
                  <c:v>36.634000000001336</c:v>
                </c:pt>
                <c:pt idx="855">
                  <c:v>36.634100000001339</c:v>
                </c:pt>
                <c:pt idx="856">
                  <c:v>36.634200000001343</c:v>
                </c:pt>
                <c:pt idx="857">
                  <c:v>36.634300000001346</c:v>
                </c:pt>
                <c:pt idx="858">
                  <c:v>36.634400000001349</c:v>
                </c:pt>
                <c:pt idx="859">
                  <c:v>36.634500000001353</c:v>
                </c:pt>
                <c:pt idx="860">
                  <c:v>36.634600000001356</c:v>
                </c:pt>
                <c:pt idx="861">
                  <c:v>36.634700000001359</c:v>
                </c:pt>
                <c:pt idx="862">
                  <c:v>36.634800000001363</c:v>
                </c:pt>
                <c:pt idx="863">
                  <c:v>36.634900000001366</c:v>
                </c:pt>
                <c:pt idx="864">
                  <c:v>36.635000000001369</c:v>
                </c:pt>
                <c:pt idx="865">
                  <c:v>36.635100000001373</c:v>
                </c:pt>
                <c:pt idx="866">
                  <c:v>36.635200000001376</c:v>
                </c:pt>
                <c:pt idx="867">
                  <c:v>36.635300000001379</c:v>
                </c:pt>
                <c:pt idx="868">
                  <c:v>36.635400000001383</c:v>
                </c:pt>
                <c:pt idx="869">
                  <c:v>36.635500000001386</c:v>
                </c:pt>
                <c:pt idx="870">
                  <c:v>36.635600000001389</c:v>
                </c:pt>
                <c:pt idx="871">
                  <c:v>36.635700000001393</c:v>
                </c:pt>
                <c:pt idx="872">
                  <c:v>36.635800000001396</c:v>
                </c:pt>
                <c:pt idx="873">
                  <c:v>36.635900000001399</c:v>
                </c:pt>
                <c:pt idx="874">
                  <c:v>36.636000000001403</c:v>
                </c:pt>
                <c:pt idx="875">
                  <c:v>36.636100000001406</c:v>
                </c:pt>
                <c:pt idx="876">
                  <c:v>36.636200000001409</c:v>
                </c:pt>
                <c:pt idx="877">
                  <c:v>36.636300000001413</c:v>
                </c:pt>
                <c:pt idx="878">
                  <c:v>36.636400000001416</c:v>
                </c:pt>
                <c:pt idx="879">
                  <c:v>36.636500000001419</c:v>
                </c:pt>
                <c:pt idx="880">
                  <c:v>36.636600000001422</c:v>
                </c:pt>
                <c:pt idx="881">
                  <c:v>36.636700000001426</c:v>
                </c:pt>
                <c:pt idx="882">
                  <c:v>36.636800000001429</c:v>
                </c:pt>
                <c:pt idx="883">
                  <c:v>36.636900000001432</c:v>
                </c:pt>
                <c:pt idx="884">
                  <c:v>36.637000000001436</c:v>
                </c:pt>
                <c:pt idx="885">
                  <c:v>36.637100000001439</c:v>
                </c:pt>
                <c:pt idx="886">
                  <c:v>36.637200000001442</c:v>
                </c:pt>
                <c:pt idx="887">
                  <c:v>36.637300000001446</c:v>
                </c:pt>
                <c:pt idx="888">
                  <c:v>36.637400000001449</c:v>
                </c:pt>
                <c:pt idx="889">
                  <c:v>36.637500000001452</c:v>
                </c:pt>
                <c:pt idx="890">
                  <c:v>36.637600000001456</c:v>
                </c:pt>
                <c:pt idx="891">
                  <c:v>36.637700000001459</c:v>
                </c:pt>
                <c:pt idx="892">
                  <c:v>36.637800000001462</c:v>
                </c:pt>
                <c:pt idx="893">
                  <c:v>36.637900000001466</c:v>
                </c:pt>
                <c:pt idx="894">
                  <c:v>36.638000000001469</c:v>
                </c:pt>
                <c:pt idx="895">
                  <c:v>36.638100000001472</c:v>
                </c:pt>
                <c:pt idx="896">
                  <c:v>36.638200000001476</c:v>
                </c:pt>
                <c:pt idx="897">
                  <c:v>36.638300000001479</c:v>
                </c:pt>
                <c:pt idx="898">
                  <c:v>36.638400000001482</c:v>
                </c:pt>
                <c:pt idx="899">
                  <c:v>36.638500000001486</c:v>
                </c:pt>
                <c:pt idx="900">
                  <c:v>36.638600000001489</c:v>
                </c:pt>
                <c:pt idx="901">
                  <c:v>36.638700000001492</c:v>
                </c:pt>
                <c:pt idx="902">
                  <c:v>36.638800000001496</c:v>
                </c:pt>
                <c:pt idx="903">
                  <c:v>36.638900000001499</c:v>
                </c:pt>
                <c:pt idx="904">
                  <c:v>36.639000000001502</c:v>
                </c:pt>
                <c:pt idx="905">
                  <c:v>36.639100000001505</c:v>
                </c:pt>
                <c:pt idx="906">
                  <c:v>36.639200000001509</c:v>
                </c:pt>
                <c:pt idx="907">
                  <c:v>36.639300000001512</c:v>
                </c:pt>
                <c:pt idx="908">
                  <c:v>36.639400000001515</c:v>
                </c:pt>
                <c:pt idx="909">
                  <c:v>36.639500000001519</c:v>
                </c:pt>
                <c:pt idx="910">
                  <c:v>36.639600000001522</c:v>
                </c:pt>
                <c:pt idx="911">
                  <c:v>36.639700000001525</c:v>
                </c:pt>
                <c:pt idx="912">
                  <c:v>36.639800000001529</c:v>
                </c:pt>
                <c:pt idx="913">
                  <c:v>36.639900000001532</c:v>
                </c:pt>
                <c:pt idx="914">
                  <c:v>36.640000000001535</c:v>
                </c:pt>
                <c:pt idx="915">
                  <c:v>36.640100000001539</c:v>
                </c:pt>
                <c:pt idx="916">
                  <c:v>36.640200000001542</c:v>
                </c:pt>
                <c:pt idx="917">
                  <c:v>36.640300000001545</c:v>
                </c:pt>
                <c:pt idx="918">
                  <c:v>36.640400000001549</c:v>
                </c:pt>
                <c:pt idx="919">
                  <c:v>36.640500000001552</c:v>
                </c:pt>
                <c:pt idx="920">
                  <c:v>36.640600000001555</c:v>
                </c:pt>
                <c:pt idx="921">
                  <c:v>36.640700000001559</c:v>
                </c:pt>
                <c:pt idx="922">
                  <c:v>36.640800000001562</c:v>
                </c:pt>
                <c:pt idx="923">
                  <c:v>36.640900000001565</c:v>
                </c:pt>
                <c:pt idx="924">
                  <c:v>36.641000000001569</c:v>
                </c:pt>
                <c:pt idx="925">
                  <c:v>36.641100000001572</c:v>
                </c:pt>
                <c:pt idx="926">
                  <c:v>36.641200000001575</c:v>
                </c:pt>
                <c:pt idx="927">
                  <c:v>36.641300000001578</c:v>
                </c:pt>
                <c:pt idx="928">
                  <c:v>36.641400000001582</c:v>
                </c:pt>
                <c:pt idx="929">
                  <c:v>36.641500000001585</c:v>
                </c:pt>
                <c:pt idx="930">
                  <c:v>36.641600000001588</c:v>
                </c:pt>
                <c:pt idx="931">
                  <c:v>36.641700000001592</c:v>
                </c:pt>
                <c:pt idx="932">
                  <c:v>36.641800000001595</c:v>
                </c:pt>
                <c:pt idx="933">
                  <c:v>36.641900000001598</c:v>
                </c:pt>
                <c:pt idx="934">
                  <c:v>36.642000000001602</c:v>
                </c:pt>
                <c:pt idx="935">
                  <c:v>36.642100000001605</c:v>
                </c:pt>
                <c:pt idx="936">
                  <c:v>36.642200000001608</c:v>
                </c:pt>
                <c:pt idx="937">
                  <c:v>36.642300000001612</c:v>
                </c:pt>
                <c:pt idx="938">
                  <c:v>36.642400000001615</c:v>
                </c:pt>
                <c:pt idx="939">
                  <c:v>36.642500000001618</c:v>
                </c:pt>
                <c:pt idx="940">
                  <c:v>36.642600000001622</c:v>
                </c:pt>
                <c:pt idx="941">
                  <c:v>36.642700000001625</c:v>
                </c:pt>
                <c:pt idx="942">
                  <c:v>36.642800000001628</c:v>
                </c:pt>
                <c:pt idx="943">
                  <c:v>36.642900000001632</c:v>
                </c:pt>
                <c:pt idx="944">
                  <c:v>36.643000000001635</c:v>
                </c:pt>
                <c:pt idx="945">
                  <c:v>36.643100000001638</c:v>
                </c:pt>
                <c:pt idx="946">
                  <c:v>36.643200000001642</c:v>
                </c:pt>
                <c:pt idx="947">
                  <c:v>36.643300000001645</c:v>
                </c:pt>
                <c:pt idx="948">
                  <c:v>36.643400000001648</c:v>
                </c:pt>
                <c:pt idx="949">
                  <c:v>36.643500000001652</c:v>
                </c:pt>
                <c:pt idx="950">
                  <c:v>36.643600000001655</c:v>
                </c:pt>
                <c:pt idx="951">
                  <c:v>36.643700000001658</c:v>
                </c:pt>
                <c:pt idx="952">
                  <c:v>36.643800000001661</c:v>
                </c:pt>
                <c:pt idx="953">
                  <c:v>36.643900000001665</c:v>
                </c:pt>
                <c:pt idx="954">
                  <c:v>36.644000000001668</c:v>
                </c:pt>
                <c:pt idx="955">
                  <c:v>36.644100000001671</c:v>
                </c:pt>
                <c:pt idx="956">
                  <c:v>36.644200000001675</c:v>
                </c:pt>
                <c:pt idx="957">
                  <c:v>36.644300000001678</c:v>
                </c:pt>
                <c:pt idx="958">
                  <c:v>36.644400000001681</c:v>
                </c:pt>
                <c:pt idx="959">
                  <c:v>36.644500000001685</c:v>
                </c:pt>
                <c:pt idx="960">
                  <c:v>36.644600000001688</c:v>
                </c:pt>
                <c:pt idx="961">
                  <c:v>36.644700000001691</c:v>
                </c:pt>
                <c:pt idx="962">
                  <c:v>36.644800000001695</c:v>
                </c:pt>
                <c:pt idx="963">
                  <c:v>36.644900000001698</c:v>
                </c:pt>
                <c:pt idx="964">
                  <c:v>36.645000000001701</c:v>
                </c:pt>
                <c:pt idx="965">
                  <c:v>36.645100000001705</c:v>
                </c:pt>
                <c:pt idx="966">
                  <c:v>36.645200000001708</c:v>
                </c:pt>
                <c:pt idx="967">
                  <c:v>36.645300000001711</c:v>
                </c:pt>
                <c:pt idx="968">
                  <c:v>36.645400000001715</c:v>
                </c:pt>
                <c:pt idx="969">
                  <c:v>36.645500000001718</c:v>
                </c:pt>
                <c:pt idx="970">
                  <c:v>36.645600000001721</c:v>
                </c:pt>
                <c:pt idx="971">
                  <c:v>36.645700000001725</c:v>
                </c:pt>
                <c:pt idx="972">
                  <c:v>36.645800000001728</c:v>
                </c:pt>
                <c:pt idx="973">
                  <c:v>36.645900000001731</c:v>
                </c:pt>
                <c:pt idx="974">
                  <c:v>36.646000000001735</c:v>
                </c:pt>
                <c:pt idx="975">
                  <c:v>36.646100000001738</c:v>
                </c:pt>
                <c:pt idx="976">
                  <c:v>36.646200000001741</c:v>
                </c:pt>
                <c:pt idx="977">
                  <c:v>36.646300000001744</c:v>
                </c:pt>
                <c:pt idx="978">
                  <c:v>36.646400000001748</c:v>
                </c:pt>
                <c:pt idx="979">
                  <c:v>36.646500000001751</c:v>
                </c:pt>
                <c:pt idx="980">
                  <c:v>36.646600000001754</c:v>
                </c:pt>
                <c:pt idx="981">
                  <c:v>36.646700000001758</c:v>
                </c:pt>
                <c:pt idx="982">
                  <c:v>36.646800000001761</c:v>
                </c:pt>
                <c:pt idx="983">
                  <c:v>36.646900000001764</c:v>
                </c:pt>
                <c:pt idx="984">
                  <c:v>36.647000000001768</c:v>
                </c:pt>
                <c:pt idx="985">
                  <c:v>36.647100000001771</c:v>
                </c:pt>
                <c:pt idx="986">
                  <c:v>36.647200000001774</c:v>
                </c:pt>
                <c:pt idx="987">
                  <c:v>36.647300000001778</c:v>
                </c:pt>
                <c:pt idx="988">
                  <c:v>36.647400000001781</c:v>
                </c:pt>
                <c:pt idx="989">
                  <c:v>36.647500000001784</c:v>
                </c:pt>
                <c:pt idx="990">
                  <c:v>36.647600000001788</c:v>
                </c:pt>
                <c:pt idx="991">
                  <c:v>36.647700000001791</c:v>
                </c:pt>
                <c:pt idx="992">
                  <c:v>36.647800000001794</c:v>
                </c:pt>
                <c:pt idx="993">
                  <c:v>36.647900000001798</c:v>
                </c:pt>
                <c:pt idx="994">
                  <c:v>36.648000000001801</c:v>
                </c:pt>
                <c:pt idx="995">
                  <c:v>36.648100000001804</c:v>
                </c:pt>
                <c:pt idx="996">
                  <c:v>36.648200000001808</c:v>
                </c:pt>
                <c:pt idx="997">
                  <c:v>36.648300000001811</c:v>
                </c:pt>
                <c:pt idx="998">
                  <c:v>36.648400000001814</c:v>
                </c:pt>
                <c:pt idx="999">
                  <c:v>36.648500000001818</c:v>
                </c:pt>
                <c:pt idx="1000">
                  <c:v>36.648600000001821</c:v>
                </c:pt>
              </c:numCache>
            </c:numRef>
          </c:xVal>
          <c:yVal>
            <c:numRef>
              <c:f>Calculs!$W$4:$W$1004</c:f>
              <c:numCache>
                <c:formatCode>0.00</c:formatCode>
                <c:ptCount val="1001"/>
                <c:pt idx="0">
                  <c:v>74.531380034578646</c:v>
                </c:pt>
                <c:pt idx="1">
                  <c:v>74.400855392896574</c:v>
                </c:pt>
                <c:pt idx="2">
                  <c:v>74.653534032710041</c:v>
                </c:pt>
                <c:pt idx="3">
                  <c:v>75.067306782250867</c:v>
                </c:pt>
                <c:pt idx="4">
                  <c:v>75.419379174168228</c:v>
                </c:pt>
                <c:pt idx="5">
                  <c:v>75.73903357543449</c:v>
                </c:pt>
                <c:pt idx="6">
                  <c:v>76.055786443711199</c:v>
                </c:pt>
                <c:pt idx="7">
                  <c:v>76.369621961190646</c:v>
                </c:pt>
                <c:pt idx="8">
                  <c:v>76.680524693183443</c:v>
                </c:pt>
                <c:pt idx="9">
                  <c:v>76.988479586099857</c:v>
                </c:pt>
                <c:pt idx="10">
                  <c:v>77.293471965395469</c:v>
                </c:pt>
                <c:pt idx="11">
                  <c:v>77.59548753348254</c:v>
                </c:pt>
                <c:pt idx="12">
                  <c:v>77.894512367607632</c:v>
                </c:pt>
                <c:pt idx="13">
                  <c:v>78.190532917696657</c:v>
                </c:pt>
                <c:pt idx="14">
                  <c:v>78.4835360041684</c:v>
                </c:pt>
                <c:pt idx="15">
                  <c:v>78.773508815716852</c:v>
                </c:pt>
                <c:pt idx="16">
                  <c:v>79.060438907064096</c:v>
                </c:pt>
                <c:pt idx="17">
                  <c:v>79.344314196683854</c:v>
                </c:pt>
                <c:pt idx="18">
                  <c:v>79.625122964497109</c:v>
                </c:pt>
                <c:pt idx="19">
                  <c:v>79.902853849540875</c:v>
                </c:pt>
                <c:pt idx="20">
                  <c:v>80.177495847610061</c:v>
                </c:pt>
                <c:pt idx="21">
                  <c:v>80.449038308874265</c:v>
                </c:pt>
                <c:pt idx="22">
                  <c:v>80.717470935470274</c:v>
                </c:pt>
                <c:pt idx="23">
                  <c:v>80.982783779070374</c:v>
                </c:pt>
                <c:pt idx="24">
                  <c:v>81.244967238428245</c:v>
                </c:pt>
                <c:pt idx="25">
                  <c:v>81.504012056902823</c:v>
                </c:pt>
                <c:pt idx="26">
                  <c:v>81.759909319960997</c:v>
                </c:pt>
                <c:pt idx="27">
                  <c:v>82.012650452660068</c:v>
                </c:pt>
                <c:pt idx="28">
                  <c:v>82.262227217110819</c:v>
                </c:pt>
                <c:pt idx="29">
                  <c:v>82.508631709921858</c:v>
                </c:pt>
                <c:pt idx="30">
                  <c:v>82.751856359626345</c:v>
                </c:pt>
                <c:pt idx="31">
                  <c:v>82.991893924091499</c:v>
                </c:pt>
                <c:pt idx="32">
                  <c:v>83.228737487912099</c:v>
                </c:pt>
                <c:pt idx="33">
                  <c:v>83.462380459788406</c:v>
                </c:pt>
                <c:pt idx="34">
                  <c:v>83.692816569889686</c:v>
                </c:pt>
                <c:pt idx="35">
                  <c:v>83.92003986720367</c:v>
                </c:pt>
                <c:pt idx="36">
                  <c:v>84.144044716872884</c:v>
                </c:pt>
                <c:pt idx="37">
                  <c:v>84.36482579751879</c:v>
                </c:pt>
                <c:pt idx="38">
                  <c:v>84.582378098554429</c:v>
                </c:pt>
                <c:pt idx="39">
                  <c:v>84.796696917485718</c:v>
                </c:pt>
                <c:pt idx="40">
                  <c:v>85.007777857203237</c:v>
                </c:pt>
                <c:pt idx="41">
                  <c:v>85.215616823264043</c:v>
                </c:pt>
                <c:pt idx="42">
                  <c:v>85.420210021165246</c:v>
                </c:pt>
                <c:pt idx="43">
                  <c:v>85.621553953609094</c:v>
                </c:pt>
                <c:pt idx="44">
                  <c:v>85.819645417761066</c:v>
                </c:pt>
                <c:pt idx="45">
                  <c:v>86.014481502501269</c:v>
                </c:pt>
                <c:pt idx="46">
                  <c:v>86.20605958566982</c:v>
                </c:pt>
                <c:pt idx="47">
                  <c:v>86.394377331306643</c:v>
                </c:pt>
                <c:pt idx="48">
                  <c:v>86.579432686887174</c:v>
                </c:pt>
                <c:pt idx="49">
                  <c:v>86.761223880553558</c:v>
                </c:pt>
                <c:pt idx="50">
                  <c:v>86.939749418342501</c:v>
                </c:pt>
                <c:pt idx="51">
                  <c:v>87.115008081410579</c:v>
                </c:pt>
                <c:pt idx="52">
                  <c:v>87.286998923257258</c:v>
                </c:pt>
                <c:pt idx="53">
                  <c:v>87.455721266946156</c:v>
                </c:pt>
                <c:pt idx="54">
                  <c:v>87.621174702325689</c:v>
                </c:pt>
                <c:pt idx="55">
                  <c:v>87.783359083249223</c:v>
                </c:pt>
                <c:pt idx="56">
                  <c:v>87.94227452479501</c:v>
                </c:pt>
                <c:pt idx="57">
                  <c:v>88.097921400487607</c:v>
                </c:pt>
                <c:pt idx="58">
                  <c:v>88.250300339519839</c:v>
                </c:pt>
                <c:pt idx="59">
                  <c:v>88.399412223977265</c:v>
                </c:pt>
                <c:pt idx="60">
                  <c:v>88.545258186064487</c:v>
                </c:pt>
                <c:pt idx="61">
                  <c:v>88.687839605334787</c:v>
                </c:pt>
                <c:pt idx="62">
                  <c:v>88.827158105922777</c:v>
                </c:pt>
                <c:pt idx="63">
                  <c:v>88.96042905148046</c:v>
                </c:pt>
                <c:pt idx="64">
                  <c:v>89.084867858370458</c:v>
                </c:pt>
                <c:pt idx="65">
                  <c:v>89.200482689004403</c:v>
                </c:pt>
                <c:pt idx="66">
                  <c:v>89.307283232837861</c:v>
                </c:pt>
                <c:pt idx="67">
                  <c:v>89.402720458176972</c:v>
                </c:pt>
                <c:pt idx="68">
                  <c:v>89.484249464686485</c:v>
                </c:pt>
                <c:pt idx="69">
                  <c:v>89.547337890633202</c:v>
                </c:pt>
                <c:pt idx="70">
                  <c:v>89.587466055070593</c:v>
                </c:pt>
                <c:pt idx="71">
                  <c:v>89.604692188459822</c:v>
                </c:pt>
                <c:pt idx="72">
                  <c:v>89.599084080732794</c:v>
                </c:pt>
                <c:pt idx="73">
                  <c:v>89.570718946317385</c:v>
                </c:pt>
                <c:pt idx="74">
                  <c:v>89.519683288534068</c:v>
                </c:pt>
                <c:pt idx="75">
                  <c:v>89.44607276349052</c:v>
                </c:pt>
                <c:pt idx="76">
                  <c:v>89.349992043597794</c:v>
                </c:pt>
                <c:pt idx="77">
                  <c:v>89.231554680828538</c:v>
                </c:pt>
                <c:pt idx="78">
                  <c:v>89.090882969836102</c:v>
                </c:pt>
                <c:pt idx="79">
                  <c:v>88.928107811048804</c:v>
                </c:pt>
                <c:pt idx="80">
                  <c:v>88.743368573851882</c:v>
                </c:pt>
                <c:pt idx="81">
                  <c:v>88.542198763902363</c:v>
                </c:pt>
                <c:pt idx="82">
                  <c:v>88.330093654764283</c:v>
                </c:pt>
                <c:pt idx="83">
                  <c:v>88.107133023703639</c:v>
                </c:pt>
                <c:pt idx="84">
                  <c:v>87.873398496846548</c:v>
                </c:pt>
                <c:pt idx="85">
                  <c:v>87.628973516347415</c:v>
                </c:pt>
                <c:pt idx="86">
                  <c:v>87.373943307895274</c:v>
                </c:pt>
                <c:pt idx="87">
                  <c:v>87.108394848565894</c:v>
                </c:pt>
                <c:pt idx="88">
                  <c:v>86.832416835028525</c:v>
                </c:pt>
                <c:pt idx="89">
                  <c:v>86.547781023298157</c:v>
                </c:pt>
                <c:pt idx="90">
                  <c:v>86.256243038904927</c:v>
                </c:pt>
                <c:pt idx="91">
                  <c:v>85.957866074726695</c:v>
                </c:pt>
                <c:pt idx="92">
                  <c:v>85.652713963920164</c:v>
                </c:pt>
                <c:pt idx="93">
                  <c:v>85.341268496155251</c:v>
                </c:pt>
                <c:pt idx="94">
                  <c:v>85.024007371392869</c:v>
                </c:pt>
                <c:pt idx="95">
                  <c:v>84.700988327699889</c:v>
                </c:pt>
                <c:pt idx="96">
                  <c:v>84.372269526630888</c:v>
                </c:pt>
                <c:pt idx="97">
                  <c:v>84.039565663931043</c:v>
                </c:pt>
                <c:pt idx="98">
                  <c:v>83.70457216280326</c:v>
                </c:pt>
                <c:pt idx="99">
                  <c:v>83.367315617827558</c:v>
                </c:pt>
                <c:pt idx="100">
                  <c:v>83.027822632743408</c:v>
                </c:pt>
                <c:pt idx="101">
                  <c:v>82.686119819500917</c:v>
                </c:pt>
                <c:pt idx="102">
                  <c:v>82.342233797342772</c:v>
                </c:pt>
                <c:pt idx="103">
                  <c:v>81.996191191916822</c:v>
                </c:pt>
                <c:pt idx="104">
                  <c:v>81.648018634419088</c:v>
                </c:pt>
                <c:pt idx="105">
                  <c:v>81.297742760766809</c:v>
                </c:pt>
                <c:pt idx="106">
                  <c:v>80.945390210801079</c:v>
                </c:pt>
                <c:pt idx="107">
                  <c:v>80.590987627519453</c:v>
                </c:pt>
                <c:pt idx="108">
                  <c:v>80.23456165633732</c:v>
                </c:pt>
                <c:pt idx="109">
                  <c:v>79.878155239394786</c:v>
                </c:pt>
                <c:pt idx="110">
                  <c:v>79.523785525252563</c:v>
                </c:pt>
                <c:pt idx="111">
                  <c:v>79.171437050816266</c:v>
                </c:pt>
                <c:pt idx="112">
                  <c:v>78.821094500486268</c:v>
                </c:pt>
                <c:pt idx="113">
                  <c:v>78.472742704468317</c:v>
                </c:pt>
                <c:pt idx="114">
                  <c:v>78.126366637106031</c:v>
                </c:pt>
                <c:pt idx="115">
                  <c:v>77.781951415236549</c:v>
                </c:pt>
                <c:pt idx="116">
                  <c:v>77.439482296567249</c:v>
                </c:pt>
                <c:pt idx="117">
                  <c:v>77.098944678074545</c:v>
                </c:pt>
                <c:pt idx="118">
                  <c:v>76.760324094423908</c:v>
                </c:pt>
                <c:pt idx="119">
                  <c:v>76.423606216410391</c:v>
                </c:pt>
                <c:pt idx="120">
                  <c:v>76.088776849420228</c:v>
                </c:pt>
                <c:pt idx="121">
                  <c:v>75.755821931912649</c:v>
                </c:pt>
                <c:pt idx="122">
                  <c:v>75.424727533921455</c:v>
                </c:pt>
                <c:pt idx="123">
                  <c:v>75.095479855576357</c:v>
                </c:pt>
                <c:pt idx="124">
                  <c:v>74.768065225644008</c:v>
                </c:pt>
                <c:pt idx="125">
                  <c:v>74.442470100087647</c:v>
                </c:pt>
                <c:pt idx="126">
                  <c:v>74.118681060645983</c:v>
                </c:pt>
                <c:pt idx="127">
                  <c:v>73.796684813430417</c:v>
                </c:pt>
                <c:pt idx="128">
                  <c:v>73.47646818754049</c:v>
                </c:pt>
                <c:pt idx="129">
                  <c:v>73.158018133697482</c:v>
                </c:pt>
                <c:pt idx="130">
                  <c:v>72.841321722895373</c:v>
                </c:pt>
                <c:pt idx="131">
                  <c:v>72.526366145069971</c:v>
                </c:pt>
                <c:pt idx="132">
                  <c:v>72.213138707784438</c:v>
                </c:pt>
                <c:pt idx="133">
                  <c:v>71.901626834932188</c:v>
                </c:pt>
                <c:pt idx="134">
                  <c:v>71.591818065456494</c:v>
                </c:pt>
                <c:pt idx="135">
                  <c:v>71.283700052086402</c:v>
                </c:pt>
                <c:pt idx="136">
                  <c:v>70.977260560088908</c:v>
                </c:pt>
                <c:pt idx="137">
                  <c:v>70.672487466037154</c:v>
                </c:pt>
                <c:pt idx="138">
                  <c:v>70.369368756594255</c:v>
                </c:pt>
                <c:pt idx="139">
                  <c:v>70.067892527312821</c:v>
                </c:pt>
                <c:pt idx="140">
                  <c:v>69.768046981449544</c:v>
                </c:pt>
                <c:pt idx="141">
                  <c:v>69.469820428794932</c:v>
                </c:pt>
                <c:pt idx="142">
                  <c:v>69.173201284517972</c:v>
                </c:pt>
                <c:pt idx="143">
                  <c:v>68.878178068025349</c:v>
                </c:pt>
                <c:pt idx="144">
                  <c:v>68.58473940183498</c:v>
                </c:pt>
                <c:pt idx="145">
                  <c:v>68.292874010463962</c:v>
                </c:pt>
                <c:pt idx="146">
                  <c:v>68.002570719330365</c:v>
                </c:pt>
                <c:pt idx="147">
                  <c:v>67.713818453668821</c:v>
                </c:pt>
                <c:pt idx="148">
                  <c:v>67.426606237459893</c:v>
                </c:pt>
                <c:pt idx="149">
                  <c:v>67.140923192372682</c:v>
                </c:pt>
                <c:pt idx="150">
                  <c:v>66.856758536720506</c:v>
                </c:pt>
                <c:pt idx="151">
                  <c:v>66.57410158443021</c:v>
                </c:pt>
                <c:pt idx="152">
                  <c:v>66.292941744023395</c:v>
                </c:pt>
                <c:pt idx="153">
                  <c:v>66.013268517611252</c:v>
                </c:pt>
                <c:pt idx="154">
                  <c:v>65.735071499901196</c:v>
                </c:pt>
                <c:pt idx="155">
                  <c:v>65.458340377216089</c:v>
                </c:pt>
                <c:pt idx="156">
                  <c:v>65.183064926525603</c:v>
                </c:pt>
                <c:pt idx="157">
                  <c:v>64.909235014489369</c:v>
                </c:pt>
                <c:pt idx="158">
                  <c:v>64.63684059651213</c:v>
                </c:pt>
                <c:pt idx="159">
                  <c:v>64.3658717158104</c:v>
                </c:pt>
                <c:pt idx="160">
                  <c:v>64.096318502490476</c:v>
                </c:pt>
                <c:pt idx="161">
                  <c:v>63.828171172638015</c:v>
                </c:pt>
                <c:pt idx="162">
                  <c:v>63.561420027418571</c:v>
                </c:pt>
                <c:pt idx="163">
                  <c:v>63.296055452188966</c:v>
                </c:pt>
                <c:pt idx="164">
                  <c:v>63.032067915620061</c:v>
                </c:pt>
                <c:pt idx="165">
                  <c:v>62.769447968829311</c:v>
                </c:pt>
                <c:pt idx="166">
                  <c:v>62.508186244524673</c:v>
                </c:pt>
                <c:pt idx="167">
                  <c:v>62.248273456158678</c:v>
                </c:pt>
                <c:pt idx="168">
                  <c:v>61.989700397092314</c:v>
                </c:pt>
                <c:pt idx="169">
                  <c:v>61.73245793976956</c:v>
                </c:pt>
                <c:pt idx="170">
                  <c:v>61.476537034901732</c:v>
                </c:pt>
                <c:pt idx="171">
                  <c:v>61.221928710661317</c:v>
                </c:pt>
                <c:pt idx="172">
                  <c:v>60.968624071885948</c:v>
                </c:pt>
                <c:pt idx="173">
                  <c:v>60.716614299291798</c:v>
                </c:pt>
                <c:pt idx="174">
                  <c:v>60.46589064869616</c:v>
                </c:pt>
                <c:pt idx="175">
                  <c:v>60.216444450249618</c:v>
                </c:pt>
                <c:pt idx="176">
                  <c:v>59.968267107677285</c:v>
                </c:pt>
                <c:pt idx="177">
                  <c:v>59.721350097528997</c:v>
                </c:pt>
                <c:pt idx="178">
                  <c:v>59.475684968438578</c:v>
                </c:pt>
                <c:pt idx="179">
                  <c:v>59.231263340391791</c:v>
                </c:pt>
                <c:pt idx="180">
                  <c:v>58.988076904002945</c:v>
                </c:pt>
                <c:pt idx="181">
                  <c:v>58.746117419800221</c:v>
                </c:pt>
                <c:pt idx="182">
                  <c:v>58.505376717519304</c:v>
                </c:pt>
                <c:pt idx="183">
                  <c:v>58.265846695405365</c:v>
                </c:pt>
                <c:pt idx="184">
                  <c:v>58.02751931952325</c:v>
                </c:pt>
                <c:pt idx="185">
                  <c:v>57.790386623075847</c:v>
                </c:pt>
                <c:pt idx="186">
                  <c:v>57.554440705730485</c:v>
                </c:pt>
                <c:pt idx="187">
                  <c:v>57.319673732953021</c:v>
                </c:pt>
                <c:pt idx="188">
                  <c:v>57.086077935349905</c:v>
                </c:pt>
                <c:pt idx="189">
                  <c:v>56.853645608017935</c:v>
                </c:pt>
                <c:pt idx="190">
                  <c:v>56.622369109901364</c:v>
                </c:pt>
                <c:pt idx="191">
                  <c:v>56.392240863156758</c:v>
                </c:pt>
                <c:pt idx="192">
                  <c:v>56.163253352525189</c:v>
                </c:pt>
                <c:pt idx="193">
                  <c:v>55.935399124711417</c:v>
                </c:pt>
                <c:pt idx="194">
                  <c:v>55.708670787770778</c:v>
                </c:pt>
                <c:pt idx="195">
                  <c:v>55.483061010502595</c:v>
                </c:pt>
                <c:pt idx="196">
                  <c:v>55.258562521851012</c:v>
                </c:pt>
                <c:pt idx="197">
                  <c:v>55.03516811031249</c:v>
                </c:pt>
                <c:pt idx="198">
                  <c:v>54.812870623350342</c:v>
                </c:pt>
                <c:pt idx="199">
                  <c:v>54.591662966815697</c:v>
                </c:pt>
                <c:pt idx="200">
                  <c:v>54.371538104375325</c:v>
                </c:pt>
                <c:pt idx="201">
                  <c:v>52.203164667712059</c:v>
                </c:pt>
                <c:pt idx="202">
                  <c:v>50.138595825852782</c:v>
                </c:pt>
                <c:pt idx="203">
                  <c:v>48.171367486447721</c:v>
                </c:pt>
                <c:pt idx="204">
                  <c:v>46.295517149399345</c:v>
                </c:pt>
                <c:pt idx="205">
                  <c:v>44.505537743040549</c:v>
                </c:pt>
                <c:pt idx="206">
                  <c:v>42.79633636156592</c:v>
                </c:pt>
                <c:pt idx="207">
                  <c:v>41.163197316232349</c:v>
                </c:pt>
                <c:pt idx="208">
                  <c:v>39.601748991081656</c:v>
                </c:pt>
                <c:pt idx="209">
                  <c:v>38.107934060746061</c:v>
                </c:pt>
                <c:pt idx="210">
                  <c:v>36.677982685086221</c:v>
                </c:pt>
                <c:pt idx="211">
                  <c:v>35.308388344488748</c:v>
                </c:pt>
                <c:pt idx="212">
                  <c:v>33.995886021863498</c:v>
                </c:pt>
                <c:pt idx="213">
                  <c:v>32.737432473774923</c:v>
                </c:pt>
                <c:pt idx="214">
                  <c:v>31.53018836458763</c:v>
                </c:pt>
                <c:pt idx="215">
                  <c:v>30.371502064735331</c:v>
                </c:pt>
                <c:pt idx="216">
                  <c:v>29.258894937849853</c:v>
                </c:pt>
                <c:pt idx="217">
                  <c:v>28.190047962030192</c:v>
                </c:pt>
                <c:pt idx="218">
                  <c:v>27.162789548429117</c:v>
                </c:pt>
                <c:pt idx="219">
                  <c:v>26.175084435956567</c:v>
                </c:pt>
                <c:pt idx="220">
                  <c:v>25.225023554560984</c:v>
                </c:pt>
                <c:pt idx="221">
                  <c:v>24.31081476151785</c:v>
                </c:pt>
                <c:pt idx="222">
                  <c:v>23.43077436565866</c:v>
                </c:pt>
                <c:pt idx="223">
                  <c:v>22.583319363708299</c:v>
                </c:pt>
                <c:pt idx="224">
                  <c:v>21.766960321030162</c:v>
                </c:pt>
                <c:pt idx="225">
                  <c:v>20.980294836251556</c:v>
                </c:pt>
                <c:pt idx="226">
                  <c:v>20.222001535578261</c:v>
                </c:pt>
                <c:pt idx="227">
                  <c:v>19.490834548214053</c:v>
                </c:pt>
                <c:pt idx="228">
                  <c:v>18.785618419269564</c:v>
                </c:pt>
                <c:pt idx="229">
                  <c:v>18.105243420953986</c:v>
                </c:pt>
                <c:pt idx="230">
                  <c:v>17.448661226761971</c:v>
                </c:pt>
                <c:pt idx="231">
                  <c:v>16.814880916855564</c:v>
                </c:pt>
                <c:pt idx="232">
                  <c:v>16.20296528594919</c:v>
                </c:pt>
                <c:pt idx="233">
                  <c:v>15.612027427779292</c:v>
                </c:pt>
                <c:pt idx="234">
                  <c:v>15.041227572718794</c:v>
                </c:pt>
                <c:pt idx="235">
                  <c:v>14.489770157313696</c:v>
                </c:pt>
                <c:pt idx="236">
                  <c:v>13.956901106506024</c:v>
                </c:pt>
                <c:pt idx="237">
                  <c:v>13.441905311088414</c:v>
                </c:pt>
                <c:pt idx="238">
                  <c:v>12.944104284535937</c:v>
                </c:pt>
                <c:pt idx="239">
                  <c:v>12.462853984798823</c:v>
                </c:pt>
                <c:pt idx="240">
                  <c:v>11.997542787934401</c:v>
                </c:pt>
                <c:pt idx="241">
                  <c:v>11.547589601622912</c:v>
                </c:pt>
                <c:pt idx="242">
                  <c:v>11.112442107664174</c:v>
                </c:pt>
                <c:pt idx="243">
                  <c:v>10.691575123502036</c:v>
                </c:pt>
                <c:pt idx="244">
                  <c:v>10.284489073682424</c:v>
                </c:pt>
                <c:pt idx="245">
                  <c:v>9.8907085629278981</c:v>
                </c:pt>
                <c:pt idx="246">
                  <c:v>9.5097810432155025</c:v>
                </c:pt>
                <c:pt idx="247">
                  <c:v>9.1412755678826816</c:v>
                </c:pt>
                <c:pt idx="248">
                  <c:v>8.784781626365346</c:v>
                </c:pt>
                <c:pt idx="249">
                  <c:v>8.4399080536978808</c:v>
                </c:pt>
                <c:pt idx="250">
                  <c:v>8.1062820093832677</c:v>
                </c:pt>
                <c:pt idx="251">
                  <c:v>7.7835480206764149</c:v>
                </c:pt>
                <c:pt idx="252">
                  <c:v>7.4713670857201508</c:v>
                </c:pt>
                <c:pt idx="253">
                  <c:v>7.1694158323341926</c:v>
                </c:pt>
                <c:pt idx="254">
                  <c:v>6.8773857285869715</c:v>
                </c:pt>
                <c:pt idx="255">
                  <c:v>6.594982341580538</c:v>
                </c:pt>
                <c:pt idx="256">
                  <c:v>6.3219246411534558</c:v>
                </c:pt>
                <c:pt idx="257">
                  <c:v>6.0579443454573436</c:v>
                </c:pt>
                <c:pt idx="258">
                  <c:v>5.8027853055921259</c:v>
                </c:pt>
                <c:pt idx="259">
                  <c:v>5.5562029266948496</c:v>
                </c:pt>
                <c:pt idx="260">
                  <c:v>5.3179636230689376</c:v>
                </c:pt>
                <c:pt idx="261">
                  <c:v>5.0878443051164473</c:v>
                </c:pt>
                <c:pt idx="262">
                  <c:v>4.8656318959966791</c:v>
                </c:pt>
                <c:pt idx="263">
                  <c:v>4.6511228760818488</c:v>
                </c:pt>
                <c:pt idx="264">
                  <c:v>4.4441228534149362</c:v>
                </c:pt>
                <c:pt idx="265">
                  <c:v>4.2444461584982633</c:v>
                </c:pt>
                <c:pt idx="266">
                  <c:v>4.0519154618535485</c:v>
                </c:pt>
                <c:pt idx="267">
                  <c:v>3.8663614128969086</c:v>
                </c:pt>
                <c:pt idx="268">
                  <c:v>3.6876222987656275</c:v>
                </c:pt>
                <c:pt idx="269">
                  <c:v>3.5155437218181471</c:v>
                </c:pt>
                <c:pt idx="270">
                  <c:v>3.3499782946054966</c:v>
                </c:pt>
                <c:pt idx="271">
                  <c:v>3.1907853511811752</c:v>
                </c:pt>
                <c:pt idx="272">
                  <c:v>3.0378306736781897</c:v>
                </c:pt>
                <c:pt idx="273">
                  <c:v>2.890986233136442</c:v>
                </c:pt>
                <c:pt idx="274">
                  <c:v>2.7501299436114452</c:v>
                </c:pt>
                <c:pt idx="275">
                  <c:v>2.6151454286363389</c:v>
                </c:pt>
                <c:pt idx="276">
                  <c:v>2.4859217991437799</c:v>
                </c:pt>
                <c:pt idx="277">
                  <c:v>2.3623534419822252</c:v>
                </c:pt>
                <c:pt idx="278">
                  <c:v>2.2443398181827772</c:v>
                </c:pt>
                <c:pt idx="279">
                  <c:v>2.131785270147879</c:v>
                </c:pt>
                <c:pt idx="280">
                  <c:v>2.0245988369418746</c:v>
                </c:pt>
                <c:pt idx="281">
                  <c:v>1.9226940768659198</c:v>
                </c:pt>
                <c:pt idx="282">
                  <c:v>1.8259888964959015</c:v>
                </c:pt>
                <c:pt idx="283">
                  <c:v>1.7344053853523851</c:v>
                </c:pt>
                <c:pt idx="284">
                  <c:v>1.6478696553565653</c:v>
                </c:pt>
                <c:pt idx="285">
                  <c:v>1.5663116842065437</c:v>
                </c:pt>
                <c:pt idx="286">
                  <c:v>1.4896651617853067</c:v>
                </c:pt>
                <c:pt idx="287">
                  <c:v>1.4178673386871776</c:v>
                </c:pt>
                <c:pt idx="288">
                  <c:v>1.3508588759258693</c:v>
                </c:pt>
                <c:pt idx="289">
                  <c:v>1.2885836948676792</c:v>
                </c:pt>
                <c:pt idx="290">
                  <c:v>1.2309888264222557</c:v>
                </c:pt>
                <c:pt idx="291">
                  <c:v>1.1780242585257157</c:v>
                </c:pt>
                <c:pt idx="292">
                  <c:v>1.1296427809731218</c:v>
                </c:pt>
                <c:pt idx="293">
                  <c:v>1.0857998267061217</c:v>
                </c:pt>
                <c:pt idx="294">
                  <c:v>1.0464533087443939</c:v>
                </c:pt>
                <c:pt idx="295">
                  <c:v>1.0115634520731771</c:v>
                </c:pt>
                <c:pt idx="296">
                  <c:v>0.98109261996934294</c:v>
                </c:pt>
                <c:pt idx="297">
                  <c:v>0.95500513446816881</c:v>
                </c:pt>
                <c:pt idx="298">
                  <c:v>0.93326709094141247</c:v>
                </c:pt>
                <c:pt idx="299">
                  <c:v>0.9158461670684882</c:v>
                </c:pt>
                <c:pt idx="300">
                  <c:v>0.90271142682447492</c:v>
                </c:pt>
                <c:pt idx="301">
                  <c:v>0.89383312046320362</c:v>
                </c:pt>
                <c:pt idx="302">
                  <c:v>0.8891824818174725</c:v>
                </c:pt>
                <c:pt idx="303">
                  <c:v>0.88873152454501458</c:v>
                </c:pt>
                <c:pt idx="304">
                  <c:v>0.89245283919199481</c:v>
                </c:pt>
                <c:pt idx="305">
                  <c:v>0.90031939310276787</c:v>
                </c:pt>
                <c:pt idx="306">
                  <c:v>0.91230433526031296</c:v>
                </c:pt>
                <c:pt idx="307">
                  <c:v>0.92838080809051926</c:v>
                </c:pt>
                <c:pt idx="308">
                  <c:v>0.94852176811087918</c:v>
                </c:pt>
                <c:pt idx="309">
                  <c:v>0.97269981706532616</c:v>
                </c:pt>
                <c:pt idx="310">
                  <c:v>1.00088704488472</c:v>
                </c:pt>
                <c:pt idx="311">
                  <c:v>1.0330548854734651</c:v>
                </c:pt>
                <c:pt idx="312">
                  <c:v>1.0691739859737279</c:v>
                </c:pt>
                <c:pt idx="313">
                  <c:v>1.1092140898234555</c:v>
                </c:pt>
                <c:pt idx="314">
                  <c:v>1.1531439336214364</c:v>
                </c:pt>
                <c:pt idx="315">
                  <c:v>1.2009311575541579</c:v>
                </c:pt>
                <c:pt idx="316">
                  <c:v>1.2525422289314156</c:v>
                </c:pt>
                <c:pt idx="317">
                  <c:v>1.3079423782212489</c:v>
                </c:pt>
                <c:pt idx="318">
                  <c:v>1.3670955468666957</c:v>
                </c:pt>
                <c:pt idx="319">
                  <c:v>1.4299643461012741</c:v>
                </c:pt>
                <c:pt idx="320">
                  <c:v>1.4965100259499589</c:v>
                </c:pt>
                <c:pt idx="321">
                  <c:v>1.566692453600242</c:v>
                </c:pt>
                <c:pt idx="322">
                  <c:v>1.6404701003466675</c:v>
                </c:pt>
                <c:pt idx="323">
                  <c:v>1.7178000363457671</c:v>
                </c:pt>
                <c:pt idx="324">
                  <c:v>1.7986379324613451</c:v>
                </c:pt>
                <c:pt idx="325">
                  <c:v>1.8829380685284598</c:v>
                </c:pt>
                <c:pt idx="326">
                  <c:v>1.9706533474150036</c:v>
                </c:pt>
                <c:pt idx="327">
                  <c:v>2.0617353143101935</c:v>
                </c:pt>
                <c:pt idx="328">
                  <c:v>2.1561341807179368</c:v>
                </c:pt>
                <c:pt idx="329">
                  <c:v>2.2537988526789299</c:v>
                </c:pt>
                <c:pt idx="330">
                  <c:v>2.3546769627878428</c:v>
                </c:pt>
                <c:pt idx="331">
                  <c:v>2.4587149056107922</c:v>
                </c:pt>
                <c:pt idx="332">
                  <c:v>2.5658578761434758</c:v>
                </c:pt>
                <c:pt idx="333">
                  <c:v>2.6760499109818912</c:v>
                </c:pt>
                <c:pt idx="334">
                  <c:v>2.7892339319057973</c:v>
                </c:pt>
                <c:pt idx="335">
                  <c:v>2.9053517916000788</c:v>
                </c:pt>
                <c:pt idx="336">
                  <c:v>3.0243443212615233</c:v>
                </c:pt>
                <c:pt idx="337">
                  <c:v>3.1461513798581326</c:v>
                </c:pt>
                <c:pt idx="338">
                  <c:v>3.2707119048256872</c:v>
                </c:pt>
                <c:pt idx="339">
                  <c:v>3.3979639640017112</c:v>
                </c:pt>
                <c:pt idx="340">
                  <c:v>3.5278448086108312</c:v>
                </c:pt>
                <c:pt idx="341">
                  <c:v>3.6602909271278512</c:v>
                </c:pt>
                <c:pt idx="342">
                  <c:v>3.7952380998558692</c:v>
                </c:pt>
                <c:pt idx="343">
                  <c:v>3.9326214540667626</c:v>
                </c:pt>
                <c:pt idx="344">
                  <c:v>4.0723755195602909</c:v>
                </c:pt>
                <c:pt idx="345">
                  <c:v>4.2144342845063658</c:v>
                </c:pt>
                <c:pt idx="346">
                  <c:v>4.3587312514424816</c:v>
                </c:pt>
                <c:pt idx="347">
                  <c:v>4.5051994933052892</c:v>
                </c:pt>
                <c:pt idx="348">
                  <c:v>4.6537717093817346</c:v>
                </c:pt>
                <c:pt idx="349">
                  <c:v>4.8043802810712899</c:v>
                </c:pt>
                <c:pt idx="350">
                  <c:v>4.9569573273563998</c:v>
                </c:pt>
                <c:pt idx="351">
                  <c:v>5.1114347598837968</c:v>
                </c:pt>
                <c:pt idx="352">
                  <c:v>5.2677443375644133</c:v>
                </c:pt>
                <c:pt idx="353">
                  <c:v>5.4258177206046039</c:v>
                </c:pt>
                <c:pt idx="354">
                  <c:v>5.5855865238861586</c:v>
                </c:pt>
                <c:pt idx="355">
                  <c:v>5.7469823696172107</c:v>
                </c:pt>
                <c:pt idx="356">
                  <c:v>5.9099369391806151</c:v>
                </c:pt>
                <c:pt idx="357">
                  <c:v>6.0743820241107676</c:v>
                </c:pt>
                <c:pt idx="358">
                  <c:v>6.2402495761340644</c:v>
                </c:pt>
                <c:pt idx="359">
                  <c:v>6.407471756212435</c:v>
                </c:pt>
                <c:pt idx="360">
                  <c:v>6.5759809825333866</c:v>
                </c:pt>
                <c:pt idx="361">
                  <c:v>6.7457099773941103</c:v>
                </c:pt>
                <c:pt idx="362">
                  <c:v>6.9165918129310624</c:v>
                </c:pt>
                <c:pt idx="363">
                  <c:v>7.0885599556503109</c:v>
                </c:pt>
                <c:pt idx="364">
                  <c:v>7.2615483097177576</c:v>
                </c:pt>
                <c:pt idx="365">
                  <c:v>7.4354912589719984</c:v>
                </c:pt>
                <c:pt idx="366">
                  <c:v>7.6103237076263586</c:v>
                </c:pt>
                <c:pt idx="367">
                  <c:v>7.7859811196299962</c:v>
                </c:pt>
                <c:pt idx="368">
                  <c:v>7.9623995566617261</c:v>
                </c:pt>
                <c:pt idx="369">
                  <c:v>8.1395157147333865</c:v>
                </c:pt>
                <c:pt idx="370">
                  <c:v>8.3172669593831028</c:v>
                </c:pt>
                <c:pt idx="371">
                  <c:v>8.4955913594418764</c:v>
                </c:pt>
                <c:pt idx="372">
                  <c:v>8.6744277193602652</c:v>
                </c:pt>
                <c:pt idx="373">
                  <c:v>8.8537156100848602</c:v>
                </c:pt>
                <c:pt idx="374">
                  <c:v>9.0333953984773157</c:v>
                </c:pt>
                <c:pt idx="375">
                  <c:v>9.2134082752715774</c:v>
                </c:pt>
                <c:pt idx="376">
                  <c:v>9.3936962815676992</c:v>
                </c:pt>
                <c:pt idx="377">
                  <c:v>9.5742023338633793</c:v>
                </c:pt>
                <c:pt idx="378">
                  <c:v>9.7548702476269646</c:v>
                </c:pt>
                <c:pt idx="379">
                  <c:v>9.9356447594180288</c:v>
                </c:pt>
                <c:pt idx="380">
                  <c:v>10.11647154756419</c:v>
                </c:pt>
                <c:pt idx="381">
                  <c:v>10.297297251405023</c:v>
                </c:pt>
                <c:pt idx="382">
                  <c:v>10.478069489115954</c:v>
                </c:pt>
                <c:pt idx="383">
                  <c:v>10.65873687412749</c:v>
                </c:pt>
                <c:pt idx="384">
                  <c:v>10.839249030156578</c:v>
                </c:pt>
                <c:pt idx="385">
                  <c:v>11.019556604869114</c:v>
                </c:pt>
                <c:pt idx="386">
                  <c:v>11.199611282194214</c:v>
                </c:pt>
                <c:pt idx="387">
                  <c:v>11.379365793312511</c:v>
                </c:pt>
                <c:pt idx="388">
                  <c:v>11.558773926342209</c:v>
                </c:pt>
                <c:pt idx="389">
                  <c:v>11.737790534748102</c:v>
                </c:pt>
                <c:pt idx="390">
                  <c:v>11.916371544500187</c:v>
                </c:pt>
                <c:pt idx="391">
                  <c:v>12.094473960009292</c:v>
                </c:pt>
                <c:pt idx="392">
                  <c:v>12.272055868868863</c:v>
                </c:pt>
                <c:pt idx="393">
                  <c:v>12.449076445432373</c:v>
                </c:pt>
                <c:pt idx="394">
                  <c:v>12.625495953257385</c:v>
                </c:pt>
                <c:pt idx="395">
                  <c:v>12.801275746447466</c:v>
                </c:pt>
                <c:pt idx="396">
                  <c:v>12.976378269924387</c:v>
                </c:pt>
                <c:pt idx="397">
                  <c:v>13.150767058663256</c:v>
                </c:pt>
                <c:pt idx="398">
                  <c:v>13.324406735924113</c:v>
                </c:pt>
                <c:pt idx="399">
                  <c:v>13.497263010513549</c:v>
                </c:pt>
                <c:pt idx="400">
                  <c:v>13.669302673110677</c:v>
                </c:pt>
                <c:pt idx="401">
                  <c:v>13.840493591691656</c:v>
                </c:pt>
                <c:pt idx="402">
                  <c:v>14.01080470608761</c:v>
                </c:pt>
                <c:pt idx="403">
                  <c:v>14.180206021710358</c:v>
                </c:pt>
                <c:pt idx="404">
                  <c:v>14.348668602480844</c:v>
                </c:pt>
                <c:pt idx="405">
                  <c:v>14.516164562995082</c:v>
                </c:pt>
                <c:pt idx="406">
                  <c:v>14.682667059961952</c:v>
                </c:pt>
                <c:pt idx="407">
                  <c:v>14.848150282947618</c:v>
                </c:pt>
                <c:pt idx="408">
                  <c:v>15.01258944446055</c:v>
                </c:pt>
                <c:pt idx="409">
                  <c:v>15.175960769411351</c:v>
                </c:pt>
                <c:pt idx="410">
                  <c:v>15.33824148398082</c:v>
                </c:pt>
                <c:pt idx="411">
                  <c:v>15.499409803929691</c:v>
                </c:pt>
                <c:pt idx="412">
                  <c:v>15.659444922382724</c:v>
                </c:pt>
                <c:pt idx="413">
                  <c:v>15.818326997119716</c:v>
                </c:pt>
                <c:pt idx="414">
                  <c:v>15.976037137405127</c:v>
                </c:pt>
                <c:pt idx="415">
                  <c:v>16.132557390387699</c:v>
                </c:pt>
                <c:pt idx="416">
                  <c:v>16.287870727100835</c:v>
                </c:pt>
                <c:pt idx="417">
                  <c:v>16.441961028093857</c:v>
                </c:pt>
                <c:pt idx="418">
                  <c:v>16.594813068723521</c:v>
                </c:pt>
                <c:pt idx="419">
                  <c:v>16.746412504134877</c:v>
                </c:pt>
                <c:pt idx="420">
                  <c:v>16.896745853959192</c:v>
                </c:pt>
                <c:pt idx="421">
                  <c:v>17.045800486756811</c:v>
                </c:pt>
                <c:pt idx="422">
                  <c:v>17.193564604231227</c:v>
                </c:pt>
                <c:pt idx="423">
                  <c:v>17.340027225240707</c:v>
                </c:pt>
                <c:pt idx="424">
                  <c:v>17.485178169632221</c:v>
                </c:pt>
                <c:pt idx="425">
                  <c:v>17.629008041922557</c:v>
                </c:pt>
                <c:pt idx="426">
                  <c:v>17.771508214849888</c:v>
                </c:pt>
                <c:pt idx="427">
                  <c:v>17.91267081281886</c:v>
                </c:pt>
                <c:pt idx="428">
                  <c:v>18.052488695261271</c:v>
                </c:pt>
                <c:pt idx="429">
                  <c:v>18.190955439933479</c:v>
                </c:pt>
                <c:pt idx="430">
                  <c:v>18.328065326171171</c:v>
                </c:pt>
                <c:pt idx="431">
                  <c:v>18.463813318121215</c:v>
                </c:pt>
                <c:pt idx="432">
                  <c:v>18.598195047969334</c:v>
                </c:pt>
                <c:pt idx="433">
                  <c:v>18.731206799181933</c:v>
                </c:pt>
                <c:pt idx="434">
                  <c:v>18.862845489779328</c:v>
                </c:pt>
                <c:pt idx="435">
                  <c:v>18.993108655656926</c:v>
                </c:pt>
                <c:pt idx="436">
                  <c:v>19.121994433970315</c:v>
                </c:pt>
                <c:pt idx="437">
                  <c:v>19.249501546599099</c:v>
                </c:pt>
                <c:pt idx="438">
                  <c:v>19.375629283704086</c:v>
                </c:pt>
                <c:pt idx="439">
                  <c:v>19.500377487391127</c:v>
                </c:pt>
                <c:pt idx="440">
                  <c:v>19.623746535494696</c:v>
                </c:pt>
                <c:pt idx="441">
                  <c:v>19.745737325493156</c:v>
                </c:pt>
                <c:pt idx="442">
                  <c:v>19.866351258567462</c:v>
                </c:pt>
                <c:pt idx="443">
                  <c:v>19.985590223813659</c:v>
                </c:pt>
                <c:pt idx="444">
                  <c:v>20.103456582619827</c:v>
                </c:pt>
                <c:pt idx="445">
                  <c:v>20.219953153216405</c:v>
                </c:pt>
                <c:pt idx="446">
                  <c:v>20.335083195409094</c:v>
                </c:pt>
                <c:pt idx="447">
                  <c:v>20.448850395502372</c:v>
                </c:pt>
                <c:pt idx="448">
                  <c:v>20.561258851421346</c:v>
                </c:pt>
                <c:pt idx="449">
                  <c:v>20.672313058038885</c:v>
                </c:pt>
                <c:pt idx="450">
                  <c:v>20.782017892714478</c:v>
                </c:pt>
                <c:pt idx="451">
                  <c:v>20.890378601050834</c:v>
                </c:pt>
                <c:pt idx="452">
                  <c:v>20.997400782873541</c:v>
                </c:pt>
                <c:pt idx="453">
                  <c:v>21.103090378438672</c:v>
                </c:pt>
                <c:pt idx="454">
                  <c:v>21.207453654872538</c:v>
                </c:pt>
                <c:pt idx="455">
                  <c:v>21.310497192847834</c:v>
                </c:pt>
                <c:pt idx="456">
                  <c:v>21.412227873499337</c:v>
                </c:pt>
                <c:pt idx="457">
                  <c:v>21.512652865582044</c:v>
                </c:pt>
                <c:pt idx="458">
                  <c:v>21.611779612874681</c:v>
                </c:pt>
                <c:pt idx="459">
                  <c:v>21.709615821830383</c:v>
                </c:pt>
                <c:pt idx="460">
                  <c:v>21.8061694494764</c:v>
                </c:pt>
                <c:pt idx="461">
                  <c:v>21.901448691564323</c:v>
                </c:pt>
                <c:pt idx="462">
                  <c:v>21.995461970971636</c:v>
                </c:pt>
                <c:pt idx="463">
                  <c:v>22.088217926355451</c:v>
                </c:pt>
                <c:pt idx="464">
                  <c:v>22.179725401058725</c:v>
                </c:pt>
                <c:pt idx="465">
                  <c:v>22.269993432268798</c:v>
                </c:pt>
                <c:pt idx="466">
                  <c:v>22.359031240428354</c:v>
                </c:pt>
                <c:pt idx="467">
                  <c:v>22.446848218897944</c:v>
                </c:pt>
                <c:pt idx="468">
                  <c:v>22.533453923869438</c:v>
                </c:pt>
                <c:pt idx="469">
                  <c:v>22.618858064529192</c:v>
                </c:pt>
                <c:pt idx="470">
                  <c:v>22.703070493469802</c:v>
                </c:pt>
                <c:pt idx="471">
                  <c:v>22.786101197348863</c:v>
                </c:pt>
                <c:pt idx="472">
                  <c:v>22.86796028779283</c:v>
                </c:pt>
                <c:pt idx="473">
                  <c:v>22.948657992544362</c:v>
                </c:pt>
                <c:pt idx="474">
                  <c:v>23.028204646850742</c:v>
                </c:pt>
                <c:pt idx="475">
                  <c:v>23.106610685091244</c:v>
                </c:pt>
                <c:pt idx="476">
                  <c:v>23.183886632640966</c:v>
                </c:pt>
                <c:pt idx="477">
                  <c:v>23.260043097968428</c:v>
                </c:pt>
                <c:pt idx="478">
                  <c:v>23.33509076496448</c:v>
                </c:pt>
                <c:pt idx="479">
                  <c:v>23.409040385499125</c:v>
                </c:pt>
                <c:pt idx="480">
                  <c:v>23.481902772203998</c:v>
                </c:pt>
                <c:pt idx="481">
                  <c:v>23.553688791476631</c:v>
                </c:pt>
                <c:pt idx="482">
                  <c:v>23.624409356703939</c:v>
                </c:pt>
                <c:pt idx="483">
                  <c:v>23.694075421701378</c:v>
                </c:pt>
                <c:pt idx="484">
                  <c:v>23.762697974364269</c:v>
                </c:pt>
                <c:pt idx="485">
                  <c:v>23.830288030528259</c:v>
                </c:pt>
                <c:pt idx="486">
                  <c:v>23.896856628035017</c:v>
                </c:pt>
                <c:pt idx="487">
                  <c:v>23.962414820999886</c:v>
                </c:pt>
                <c:pt idx="488">
                  <c:v>24.026973674277826</c:v>
                </c:pt>
                <c:pt idx="489">
                  <c:v>24.090544258123817</c:v>
                </c:pt>
                <c:pt idx="490">
                  <c:v>24.153137643044477</c:v>
                </c:pt>
                <c:pt idx="491">
                  <c:v>24.214764894836726</c:v>
                </c:pt>
                <c:pt idx="492">
                  <c:v>24.275437069810064</c:v>
                </c:pt>
                <c:pt idx="493">
                  <c:v>24.335165210188649</c:v>
                </c:pt>
                <c:pt idx="494">
                  <c:v>24.39396033968945</c:v>
                </c:pt>
                <c:pt idx="495">
                  <c:v>24.451833459272628</c:v>
                </c:pt>
                <c:pt idx="496">
                  <c:v>24.508795543060508</c:v>
                </c:pt>
                <c:pt idx="497">
                  <c:v>24.564857534421368</c:v>
                </c:pt>
                <c:pt idx="498">
                  <c:v>24.6200303422142</c:v>
                </c:pt>
                <c:pt idx="499">
                  <c:v>24.674324837190902</c:v>
                </c:pt>
                <c:pt idx="500">
                  <c:v>24.727751848551986</c:v>
                </c:pt>
                <c:pt idx="501">
                  <c:v>24.780322160652389</c:v>
                </c:pt>
                <c:pt idx="502">
                  <c:v>24.832046509853274</c:v>
                </c:pt>
                <c:pt idx="503">
                  <c:v>24.882935581516708</c:v>
                </c:pt>
                <c:pt idx="504">
                  <c:v>24.933000007139295</c:v>
                </c:pt>
                <c:pt idx="505">
                  <c:v>24.982250361621134</c:v>
                </c:pt>
                <c:pt idx="506">
                  <c:v>25.030697160666861</c:v>
                </c:pt>
                <c:pt idx="507">
                  <c:v>25.078350858314963</c:v>
                </c:pt>
                <c:pt idx="508">
                  <c:v>25.125221844592062</c:v>
                </c:pt>
                <c:pt idx="509">
                  <c:v>25.171320443288813</c:v>
                </c:pt>
                <c:pt idx="510">
                  <c:v>25.216656909853793</c:v>
                </c:pt>
                <c:pt idx="511">
                  <c:v>25.261241429402343</c:v>
                </c:pt>
                <c:pt idx="512">
                  <c:v>25.305084114836884</c:v>
                </c:pt>
                <c:pt idx="513">
                  <c:v>25.348195005075478</c:v>
                </c:pt>
                <c:pt idx="514">
                  <c:v>25.390584063385674</c:v>
                </c:pt>
                <c:pt idx="515">
                  <c:v>25.390625697703015</c:v>
                </c:pt>
                <c:pt idx="516">
                  <c:v>25.390667331321296</c:v>
                </c:pt>
                <c:pt idx="517">
                  <c:v>25.390708964240524</c:v>
                </c:pt>
                <c:pt idx="518">
                  <c:v>25.390750596460727</c:v>
                </c:pt>
                <c:pt idx="519">
                  <c:v>25.390792227981912</c:v>
                </c:pt>
                <c:pt idx="520">
                  <c:v>25.390833858804072</c:v>
                </c:pt>
                <c:pt idx="521">
                  <c:v>25.390875488927229</c:v>
                </c:pt>
                <c:pt idx="522">
                  <c:v>25.390917118351382</c:v>
                </c:pt>
                <c:pt idx="523">
                  <c:v>25.390958747076553</c:v>
                </c:pt>
                <c:pt idx="524">
                  <c:v>25.391000375102752</c:v>
                </c:pt>
                <c:pt idx="525">
                  <c:v>25.391042002429973</c:v>
                </c:pt>
                <c:pt idx="526">
                  <c:v>25.391083629058237</c:v>
                </c:pt>
                <c:pt idx="527">
                  <c:v>25.391125254987561</c:v>
                </c:pt>
                <c:pt idx="528">
                  <c:v>25.391166880217945</c:v>
                </c:pt>
                <c:pt idx="529">
                  <c:v>25.391208504749397</c:v>
                </c:pt>
                <c:pt idx="530">
                  <c:v>25.391250128581941</c:v>
                </c:pt>
                <c:pt idx="531">
                  <c:v>25.391291751715556</c:v>
                </c:pt>
                <c:pt idx="532">
                  <c:v>25.391333374150275</c:v>
                </c:pt>
                <c:pt idx="533">
                  <c:v>25.391374995886103</c:v>
                </c:pt>
                <c:pt idx="534">
                  <c:v>25.391416616923056</c:v>
                </c:pt>
                <c:pt idx="535">
                  <c:v>25.391458237261144</c:v>
                </c:pt>
                <c:pt idx="536">
                  <c:v>25.391499856900356</c:v>
                </c:pt>
                <c:pt idx="537">
                  <c:v>25.391541475840711</c:v>
                </c:pt>
                <c:pt idx="538">
                  <c:v>25.39158309408225</c:v>
                </c:pt>
                <c:pt idx="539">
                  <c:v>25.391624711624917</c:v>
                </c:pt>
                <c:pt idx="540">
                  <c:v>25.391666328468784</c:v>
                </c:pt>
                <c:pt idx="541">
                  <c:v>25.391707944613835</c:v>
                </c:pt>
                <c:pt idx="542">
                  <c:v>25.391749560060088</c:v>
                </c:pt>
                <c:pt idx="543">
                  <c:v>25.391791174807533</c:v>
                </c:pt>
                <c:pt idx="544">
                  <c:v>25.391832788856192</c:v>
                </c:pt>
                <c:pt idx="545">
                  <c:v>25.391874402206085</c:v>
                </c:pt>
                <c:pt idx="546">
                  <c:v>25.391916014857209</c:v>
                </c:pt>
                <c:pt idx="547">
                  <c:v>25.391957626809578</c:v>
                </c:pt>
                <c:pt idx="548">
                  <c:v>25.391999238063192</c:v>
                </c:pt>
                <c:pt idx="549">
                  <c:v>25.392040848618077</c:v>
                </c:pt>
                <c:pt idx="550">
                  <c:v>25.392082458474235</c:v>
                </c:pt>
                <c:pt idx="551">
                  <c:v>25.39212406763167</c:v>
                </c:pt>
                <c:pt idx="552">
                  <c:v>25.392165676090404</c:v>
                </c:pt>
                <c:pt idx="553">
                  <c:v>25.392207283850436</c:v>
                </c:pt>
                <c:pt idx="554">
                  <c:v>25.39224889091178</c:v>
                </c:pt>
                <c:pt idx="555">
                  <c:v>25.392290497274438</c:v>
                </c:pt>
                <c:pt idx="556">
                  <c:v>25.392332102938429</c:v>
                </c:pt>
                <c:pt idx="557">
                  <c:v>25.392373707903758</c:v>
                </c:pt>
                <c:pt idx="558">
                  <c:v>25.392415312170435</c:v>
                </c:pt>
                <c:pt idx="559">
                  <c:v>25.392456915738467</c:v>
                </c:pt>
                <c:pt idx="560">
                  <c:v>25.392498518607884</c:v>
                </c:pt>
                <c:pt idx="561">
                  <c:v>25.392540120778659</c:v>
                </c:pt>
                <c:pt idx="562">
                  <c:v>25.392581722250839</c:v>
                </c:pt>
                <c:pt idx="563">
                  <c:v>25.392623323024402</c:v>
                </c:pt>
                <c:pt idx="564">
                  <c:v>25.392664923099371</c:v>
                </c:pt>
                <c:pt idx="565">
                  <c:v>25.39270652247577</c:v>
                </c:pt>
                <c:pt idx="566">
                  <c:v>25.392748121153577</c:v>
                </c:pt>
                <c:pt idx="567">
                  <c:v>25.392789719132832</c:v>
                </c:pt>
                <c:pt idx="568">
                  <c:v>25.392831316413513</c:v>
                </c:pt>
                <c:pt idx="569">
                  <c:v>25.392872912995667</c:v>
                </c:pt>
                <c:pt idx="570">
                  <c:v>25.39291450887929</c:v>
                </c:pt>
                <c:pt idx="571">
                  <c:v>25.392956104064371</c:v>
                </c:pt>
                <c:pt idx="572">
                  <c:v>25.39299769855095</c:v>
                </c:pt>
                <c:pt idx="573">
                  <c:v>25.393039292339004</c:v>
                </c:pt>
                <c:pt idx="574">
                  <c:v>25.393080885428567</c:v>
                </c:pt>
                <c:pt idx="575">
                  <c:v>25.393122477819649</c:v>
                </c:pt>
                <c:pt idx="576">
                  <c:v>25.393164069512252</c:v>
                </c:pt>
                <c:pt idx="577">
                  <c:v>25.393205660506382</c:v>
                </c:pt>
                <c:pt idx="578">
                  <c:v>25.393247250802052</c:v>
                </c:pt>
                <c:pt idx="579">
                  <c:v>25.393288840399261</c:v>
                </c:pt>
                <c:pt idx="580">
                  <c:v>25.39333042929804</c:v>
                </c:pt>
                <c:pt idx="581">
                  <c:v>25.393372017498397</c:v>
                </c:pt>
                <c:pt idx="582">
                  <c:v>25.393413605000326</c:v>
                </c:pt>
                <c:pt idx="583">
                  <c:v>25.393455191803834</c:v>
                </c:pt>
                <c:pt idx="584">
                  <c:v>25.393496777908961</c:v>
                </c:pt>
                <c:pt idx="585">
                  <c:v>25.393538363315685</c:v>
                </c:pt>
                <c:pt idx="586">
                  <c:v>25.39357994802403</c:v>
                </c:pt>
                <c:pt idx="587">
                  <c:v>25.393621532033986</c:v>
                </c:pt>
                <c:pt idx="588">
                  <c:v>25.393663115345589</c:v>
                </c:pt>
                <c:pt idx="589">
                  <c:v>25.393704697958842</c:v>
                </c:pt>
                <c:pt idx="590">
                  <c:v>25.393746279873749</c:v>
                </c:pt>
                <c:pt idx="591">
                  <c:v>25.393787861090335</c:v>
                </c:pt>
                <c:pt idx="592">
                  <c:v>25.393829441608563</c:v>
                </c:pt>
                <c:pt idx="593">
                  <c:v>25.393871021428492</c:v>
                </c:pt>
                <c:pt idx="594">
                  <c:v>25.393912600550102</c:v>
                </c:pt>
                <c:pt idx="595">
                  <c:v>25.393954178973441</c:v>
                </c:pt>
                <c:pt idx="596">
                  <c:v>25.393995756698473</c:v>
                </c:pt>
                <c:pt idx="597">
                  <c:v>25.394037333725247</c:v>
                </c:pt>
                <c:pt idx="598">
                  <c:v>25.394078910053747</c:v>
                </c:pt>
                <c:pt idx="599">
                  <c:v>25.394120485683981</c:v>
                </c:pt>
                <c:pt idx="600">
                  <c:v>25.394162060615979</c:v>
                </c:pt>
                <c:pt idx="601">
                  <c:v>25.394203634849735</c:v>
                </c:pt>
                <c:pt idx="602">
                  <c:v>25.394245208385254</c:v>
                </c:pt>
                <c:pt idx="603">
                  <c:v>25.394286781222554</c:v>
                </c:pt>
                <c:pt idx="604">
                  <c:v>25.39432835336164</c:v>
                </c:pt>
                <c:pt idx="605">
                  <c:v>25.394369924802543</c:v>
                </c:pt>
                <c:pt idx="606">
                  <c:v>25.394411495545242</c:v>
                </c:pt>
                <c:pt idx="607">
                  <c:v>25.394453065589765</c:v>
                </c:pt>
                <c:pt idx="608">
                  <c:v>25.394494634936109</c:v>
                </c:pt>
                <c:pt idx="609">
                  <c:v>25.394536203584309</c:v>
                </c:pt>
                <c:pt idx="610">
                  <c:v>25.394577771534337</c:v>
                </c:pt>
                <c:pt idx="611">
                  <c:v>25.394619338786221</c:v>
                </c:pt>
                <c:pt idx="612">
                  <c:v>25.394660905339986</c:v>
                </c:pt>
                <c:pt idx="613">
                  <c:v>25.394702471195625</c:v>
                </c:pt>
                <c:pt idx="614">
                  <c:v>25.394744036353138</c:v>
                </c:pt>
                <c:pt idx="615">
                  <c:v>25.394785600812558</c:v>
                </c:pt>
                <c:pt idx="616">
                  <c:v>25.394827164573869</c:v>
                </c:pt>
                <c:pt idx="617">
                  <c:v>25.394868727637107</c:v>
                </c:pt>
                <c:pt idx="618">
                  <c:v>25.394910290002255</c:v>
                </c:pt>
                <c:pt idx="619">
                  <c:v>25.394951851669354</c:v>
                </c:pt>
                <c:pt idx="620">
                  <c:v>25.394993412638389</c:v>
                </c:pt>
                <c:pt idx="621">
                  <c:v>25.395034972909386</c:v>
                </c:pt>
                <c:pt idx="622">
                  <c:v>25.395076532482335</c:v>
                </c:pt>
                <c:pt idx="623">
                  <c:v>25.395118091357251</c:v>
                </c:pt>
                <c:pt idx="624">
                  <c:v>25.395159649534161</c:v>
                </c:pt>
                <c:pt idx="625">
                  <c:v>25.395201207013038</c:v>
                </c:pt>
                <c:pt idx="626">
                  <c:v>25.395242763793959</c:v>
                </c:pt>
                <c:pt idx="627">
                  <c:v>25.395284319876851</c:v>
                </c:pt>
                <c:pt idx="628">
                  <c:v>25.395325875261776</c:v>
                </c:pt>
                <c:pt idx="629">
                  <c:v>25.395367429948742</c:v>
                </c:pt>
                <c:pt idx="630">
                  <c:v>25.395408983937738</c:v>
                </c:pt>
                <c:pt idx="631">
                  <c:v>25.395450537228797</c:v>
                </c:pt>
                <c:pt idx="632">
                  <c:v>25.395492089821893</c:v>
                </c:pt>
                <c:pt idx="633">
                  <c:v>25.395533641717062</c:v>
                </c:pt>
                <c:pt idx="634">
                  <c:v>25.395575192914308</c:v>
                </c:pt>
                <c:pt idx="635">
                  <c:v>25.395616743413633</c:v>
                </c:pt>
                <c:pt idx="636">
                  <c:v>25.395658293215078</c:v>
                </c:pt>
                <c:pt idx="637">
                  <c:v>25.395699842318621</c:v>
                </c:pt>
                <c:pt idx="638">
                  <c:v>25.395741390724258</c:v>
                </c:pt>
                <c:pt idx="639">
                  <c:v>25.395782938432045</c:v>
                </c:pt>
                <c:pt idx="640">
                  <c:v>25.395824485441963</c:v>
                </c:pt>
                <c:pt idx="641">
                  <c:v>25.395866031754018</c:v>
                </c:pt>
                <c:pt idx="642">
                  <c:v>25.395907577368234</c:v>
                </c:pt>
                <c:pt idx="643">
                  <c:v>25.395949122284616</c:v>
                </c:pt>
                <c:pt idx="644">
                  <c:v>25.395990666503167</c:v>
                </c:pt>
                <c:pt idx="645">
                  <c:v>25.39603221002389</c:v>
                </c:pt>
                <c:pt idx="646">
                  <c:v>25.396073752846821</c:v>
                </c:pt>
                <c:pt idx="647">
                  <c:v>25.396115294971942</c:v>
                </c:pt>
                <c:pt idx="648">
                  <c:v>25.396156836399289</c:v>
                </c:pt>
                <c:pt idx="649">
                  <c:v>25.396198377128851</c:v>
                </c:pt>
                <c:pt idx="650">
                  <c:v>25.396239917160639</c:v>
                </c:pt>
                <c:pt idx="651">
                  <c:v>25.396281456494673</c:v>
                </c:pt>
                <c:pt idx="652">
                  <c:v>25.396322995130955</c:v>
                </c:pt>
                <c:pt idx="653">
                  <c:v>25.396364533069505</c:v>
                </c:pt>
                <c:pt idx="654">
                  <c:v>25.396406070310309</c:v>
                </c:pt>
                <c:pt idx="655">
                  <c:v>25.396447606853403</c:v>
                </c:pt>
                <c:pt idx="656">
                  <c:v>25.396489142698773</c:v>
                </c:pt>
                <c:pt idx="657">
                  <c:v>25.396530677846449</c:v>
                </c:pt>
                <c:pt idx="658">
                  <c:v>25.396572212296444</c:v>
                </c:pt>
                <c:pt idx="659">
                  <c:v>25.39661374604874</c:v>
                </c:pt>
                <c:pt idx="660">
                  <c:v>25.396655279103378</c:v>
                </c:pt>
                <c:pt idx="661">
                  <c:v>25.396696811460334</c:v>
                </c:pt>
                <c:pt idx="662">
                  <c:v>25.396738343119647</c:v>
                </c:pt>
                <c:pt idx="663">
                  <c:v>25.396779874081304</c:v>
                </c:pt>
                <c:pt idx="664">
                  <c:v>25.396821404345335</c:v>
                </c:pt>
                <c:pt idx="665">
                  <c:v>25.396862933911741</c:v>
                </c:pt>
                <c:pt idx="666">
                  <c:v>25.396904462780522</c:v>
                </c:pt>
                <c:pt idx="667">
                  <c:v>25.396945990951703</c:v>
                </c:pt>
                <c:pt idx="668">
                  <c:v>25.396987518425306</c:v>
                </c:pt>
                <c:pt idx="669">
                  <c:v>25.397029045201283</c:v>
                </c:pt>
                <c:pt idx="670">
                  <c:v>25.397070571279706</c:v>
                </c:pt>
                <c:pt idx="671">
                  <c:v>25.397112096660564</c:v>
                </c:pt>
                <c:pt idx="672">
                  <c:v>25.397153621343843</c:v>
                </c:pt>
                <c:pt idx="673">
                  <c:v>25.39719514532959</c:v>
                </c:pt>
                <c:pt idx="674">
                  <c:v>25.397236668617797</c:v>
                </c:pt>
                <c:pt idx="675">
                  <c:v>25.397278191208482</c:v>
                </c:pt>
                <c:pt idx="676">
                  <c:v>25.397319713101634</c:v>
                </c:pt>
                <c:pt idx="677">
                  <c:v>25.397361234297282</c:v>
                </c:pt>
                <c:pt idx="678">
                  <c:v>25.397402754795415</c:v>
                </c:pt>
                <c:pt idx="679">
                  <c:v>25.397444274596069</c:v>
                </c:pt>
                <c:pt idx="680">
                  <c:v>25.397485793699236</c:v>
                </c:pt>
                <c:pt idx="681">
                  <c:v>25.397527312104931</c:v>
                </c:pt>
                <c:pt idx="682">
                  <c:v>25.397568829813171</c:v>
                </c:pt>
                <c:pt idx="683">
                  <c:v>25.397610346823953</c:v>
                </c:pt>
                <c:pt idx="684">
                  <c:v>25.397651863137291</c:v>
                </c:pt>
                <c:pt idx="685">
                  <c:v>25.397693378753193</c:v>
                </c:pt>
                <c:pt idx="686">
                  <c:v>25.397734893671679</c:v>
                </c:pt>
                <c:pt idx="687">
                  <c:v>25.397776407892746</c:v>
                </c:pt>
                <c:pt idx="688">
                  <c:v>25.397817921416408</c:v>
                </c:pt>
                <c:pt idx="689">
                  <c:v>25.397859434242672</c:v>
                </c:pt>
                <c:pt idx="690">
                  <c:v>25.39790094637155</c:v>
                </c:pt>
                <c:pt idx="691">
                  <c:v>25.397942457803047</c:v>
                </c:pt>
                <c:pt idx="692">
                  <c:v>25.39798396853719</c:v>
                </c:pt>
                <c:pt idx="693">
                  <c:v>25.398025478573963</c:v>
                </c:pt>
                <c:pt idx="694">
                  <c:v>25.398066987913403</c:v>
                </c:pt>
                <c:pt idx="695">
                  <c:v>25.398108496555498</c:v>
                </c:pt>
                <c:pt idx="696">
                  <c:v>25.398150004500263</c:v>
                </c:pt>
                <c:pt idx="697">
                  <c:v>25.398191511747701</c:v>
                </c:pt>
                <c:pt idx="698">
                  <c:v>25.398233018297844</c:v>
                </c:pt>
                <c:pt idx="699">
                  <c:v>25.398274524150683</c:v>
                </c:pt>
                <c:pt idx="700">
                  <c:v>25.398316029306226</c:v>
                </c:pt>
                <c:pt idx="701">
                  <c:v>25.398357533764496</c:v>
                </c:pt>
                <c:pt idx="702">
                  <c:v>25.398399037525493</c:v>
                </c:pt>
                <c:pt idx="703">
                  <c:v>25.398440540589217</c:v>
                </c:pt>
                <c:pt idx="704">
                  <c:v>25.398482042955699</c:v>
                </c:pt>
                <c:pt idx="705">
                  <c:v>25.398523544624933</c:v>
                </c:pt>
                <c:pt idx="706">
                  <c:v>25.398565045596946</c:v>
                </c:pt>
                <c:pt idx="707">
                  <c:v>25.398606545871729</c:v>
                </c:pt>
                <c:pt idx="708">
                  <c:v>25.398648045449313</c:v>
                </c:pt>
                <c:pt idx="709">
                  <c:v>25.398689544329663</c:v>
                </c:pt>
                <c:pt idx="710">
                  <c:v>25.398731042512843</c:v>
                </c:pt>
                <c:pt idx="711">
                  <c:v>25.398772539998834</c:v>
                </c:pt>
                <c:pt idx="712">
                  <c:v>25.398814036787634</c:v>
                </c:pt>
                <c:pt idx="713">
                  <c:v>25.398855532879281</c:v>
                </c:pt>
                <c:pt idx="714">
                  <c:v>25.39889702827378</c:v>
                </c:pt>
                <c:pt idx="715">
                  <c:v>25.398938522971122</c:v>
                </c:pt>
                <c:pt idx="716">
                  <c:v>25.398980016971329</c:v>
                </c:pt>
                <c:pt idx="717">
                  <c:v>25.399021510274409</c:v>
                </c:pt>
                <c:pt idx="718">
                  <c:v>25.399063002880375</c:v>
                </c:pt>
                <c:pt idx="719">
                  <c:v>25.399104494789221</c:v>
                </c:pt>
                <c:pt idx="720">
                  <c:v>25.399145986000985</c:v>
                </c:pt>
                <c:pt idx="721">
                  <c:v>25.399187476515646</c:v>
                </c:pt>
                <c:pt idx="722">
                  <c:v>25.399228966333233</c:v>
                </c:pt>
                <c:pt idx="723">
                  <c:v>25.399270455453749</c:v>
                </c:pt>
                <c:pt idx="724">
                  <c:v>25.399311943877205</c:v>
                </c:pt>
                <c:pt idx="725">
                  <c:v>25.399353431603618</c:v>
                </c:pt>
                <c:pt idx="726">
                  <c:v>25.399394918632971</c:v>
                </c:pt>
                <c:pt idx="727">
                  <c:v>25.399436404965318</c:v>
                </c:pt>
                <c:pt idx="728">
                  <c:v>25.399477890600636</c:v>
                </c:pt>
                <c:pt idx="729">
                  <c:v>25.399519375538929</c:v>
                </c:pt>
                <c:pt idx="730">
                  <c:v>25.399560859780212</c:v>
                </c:pt>
                <c:pt idx="731">
                  <c:v>25.399602343324513</c:v>
                </c:pt>
                <c:pt idx="732">
                  <c:v>25.399643826171829</c:v>
                </c:pt>
                <c:pt idx="733">
                  <c:v>25.399685308322184</c:v>
                </c:pt>
                <c:pt idx="734">
                  <c:v>25.399726789775563</c:v>
                </c:pt>
                <c:pt idx="735">
                  <c:v>25.399768270531986</c:v>
                </c:pt>
                <c:pt idx="736">
                  <c:v>25.399809750591459</c:v>
                </c:pt>
                <c:pt idx="737">
                  <c:v>25.399851229954006</c:v>
                </c:pt>
                <c:pt idx="738">
                  <c:v>25.399892708619618</c:v>
                </c:pt>
                <c:pt idx="739">
                  <c:v>25.399934186588318</c:v>
                </c:pt>
                <c:pt idx="740">
                  <c:v>25.399975663860111</c:v>
                </c:pt>
                <c:pt idx="741">
                  <c:v>25.400017140435015</c:v>
                </c:pt>
                <c:pt idx="742">
                  <c:v>25.400058616313014</c:v>
                </c:pt>
                <c:pt idx="743">
                  <c:v>25.400100091494142</c:v>
                </c:pt>
                <c:pt idx="744">
                  <c:v>25.400141565978405</c:v>
                </c:pt>
                <c:pt idx="745">
                  <c:v>25.400183039765796</c:v>
                </c:pt>
                <c:pt idx="746">
                  <c:v>25.400224512856351</c:v>
                </c:pt>
                <c:pt idx="747">
                  <c:v>25.400265985250066</c:v>
                </c:pt>
                <c:pt idx="748">
                  <c:v>25.400307456946944</c:v>
                </c:pt>
                <c:pt idx="749">
                  <c:v>25.400348927946993</c:v>
                </c:pt>
                <c:pt idx="750">
                  <c:v>25.400390398250238</c:v>
                </c:pt>
                <c:pt idx="751">
                  <c:v>25.400431867856682</c:v>
                </c:pt>
                <c:pt idx="752">
                  <c:v>25.400473336766332</c:v>
                </c:pt>
                <c:pt idx="753">
                  <c:v>25.40051480497921</c:v>
                </c:pt>
                <c:pt idx="754">
                  <c:v>25.400556272495308</c:v>
                </c:pt>
                <c:pt idx="755">
                  <c:v>25.400597739314641</c:v>
                </c:pt>
                <c:pt idx="756">
                  <c:v>25.400639205437216</c:v>
                </c:pt>
                <c:pt idx="757">
                  <c:v>25.400680670863057</c:v>
                </c:pt>
                <c:pt idx="758">
                  <c:v>25.400722135592169</c:v>
                </c:pt>
                <c:pt idx="759">
                  <c:v>25.400763599624536</c:v>
                </c:pt>
                <c:pt idx="760">
                  <c:v>25.400805062960188</c:v>
                </c:pt>
                <c:pt idx="761">
                  <c:v>25.400846525599142</c:v>
                </c:pt>
                <c:pt idx="762">
                  <c:v>25.400887987541402</c:v>
                </c:pt>
                <c:pt idx="763">
                  <c:v>25.400929448786979</c:v>
                </c:pt>
                <c:pt idx="764">
                  <c:v>25.400970909335864</c:v>
                </c:pt>
                <c:pt idx="765">
                  <c:v>25.401012369188098</c:v>
                </c:pt>
                <c:pt idx="766">
                  <c:v>25.40105382834366</c:v>
                </c:pt>
                <c:pt idx="767">
                  <c:v>25.401095286802583</c:v>
                </c:pt>
                <c:pt idx="768">
                  <c:v>25.401136744564859</c:v>
                </c:pt>
                <c:pt idx="769">
                  <c:v>25.401178201630518</c:v>
                </c:pt>
                <c:pt idx="770">
                  <c:v>25.401219657999537</c:v>
                </c:pt>
                <c:pt idx="771">
                  <c:v>25.401261113671961</c:v>
                </c:pt>
                <c:pt idx="772">
                  <c:v>25.401302568647793</c:v>
                </c:pt>
                <c:pt idx="773">
                  <c:v>25.401344022927006</c:v>
                </c:pt>
                <c:pt idx="774">
                  <c:v>25.401385476509653</c:v>
                </c:pt>
                <c:pt idx="775">
                  <c:v>25.401426929395733</c:v>
                </c:pt>
                <c:pt idx="776">
                  <c:v>25.40146838158525</c:v>
                </c:pt>
                <c:pt idx="777">
                  <c:v>25.401509833078208</c:v>
                </c:pt>
                <c:pt idx="778">
                  <c:v>25.401551283874625</c:v>
                </c:pt>
                <c:pt idx="779">
                  <c:v>25.401592733974496</c:v>
                </c:pt>
                <c:pt idx="780">
                  <c:v>25.401634183377844</c:v>
                </c:pt>
                <c:pt idx="781">
                  <c:v>25.401675632084704</c:v>
                </c:pt>
                <c:pt idx="782">
                  <c:v>25.40171708009504</c:v>
                </c:pt>
                <c:pt idx="783">
                  <c:v>25.401758527408884</c:v>
                </c:pt>
                <c:pt idx="784">
                  <c:v>25.401799974026236</c:v>
                </c:pt>
                <c:pt idx="785">
                  <c:v>25.401841419947122</c:v>
                </c:pt>
                <c:pt idx="786">
                  <c:v>25.40188286517154</c:v>
                </c:pt>
                <c:pt idx="787">
                  <c:v>25.401924309699496</c:v>
                </c:pt>
                <c:pt idx="788">
                  <c:v>25.401965753531005</c:v>
                </c:pt>
                <c:pt idx="789">
                  <c:v>25.402007196666069</c:v>
                </c:pt>
                <c:pt idx="790">
                  <c:v>25.402048639104713</c:v>
                </c:pt>
                <c:pt idx="791">
                  <c:v>25.402090080846936</c:v>
                </c:pt>
                <c:pt idx="792">
                  <c:v>25.402131521892755</c:v>
                </c:pt>
                <c:pt idx="793">
                  <c:v>25.402172962242172</c:v>
                </c:pt>
                <c:pt idx="794">
                  <c:v>25.402214401895201</c:v>
                </c:pt>
                <c:pt idx="795">
                  <c:v>25.402255840851829</c:v>
                </c:pt>
                <c:pt idx="796">
                  <c:v>25.402297279112101</c:v>
                </c:pt>
                <c:pt idx="797">
                  <c:v>25.402338716676013</c:v>
                </c:pt>
                <c:pt idx="798">
                  <c:v>25.402380153543575</c:v>
                </c:pt>
                <c:pt idx="799">
                  <c:v>25.402421589714795</c:v>
                </c:pt>
                <c:pt idx="800">
                  <c:v>25.402463025189672</c:v>
                </c:pt>
                <c:pt idx="801">
                  <c:v>25.402504459968235</c:v>
                </c:pt>
                <c:pt idx="802">
                  <c:v>25.40254589405049</c:v>
                </c:pt>
                <c:pt idx="803">
                  <c:v>25.402587327436439</c:v>
                </c:pt>
                <c:pt idx="804">
                  <c:v>25.402628760126078</c:v>
                </c:pt>
                <c:pt idx="805">
                  <c:v>25.402670192119444</c:v>
                </c:pt>
                <c:pt idx="806">
                  <c:v>25.402711623416526</c:v>
                </c:pt>
                <c:pt idx="807">
                  <c:v>25.40275305401736</c:v>
                </c:pt>
                <c:pt idx="808">
                  <c:v>25.40279448392192</c:v>
                </c:pt>
                <c:pt idx="809">
                  <c:v>25.402835913130243</c:v>
                </c:pt>
                <c:pt idx="810">
                  <c:v>25.402877341642331</c:v>
                </c:pt>
                <c:pt idx="811">
                  <c:v>25.402918769458189</c:v>
                </c:pt>
                <c:pt idx="812">
                  <c:v>25.402960196577812</c:v>
                </c:pt>
                <c:pt idx="813">
                  <c:v>25.403001623001245</c:v>
                </c:pt>
                <c:pt idx="814">
                  <c:v>25.403043048728478</c:v>
                </c:pt>
                <c:pt idx="815">
                  <c:v>25.403084473759517</c:v>
                </c:pt>
                <c:pt idx="816">
                  <c:v>25.40312589809437</c:v>
                </c:pt>
                <c:pt idx="817">
                  <c:v>25.403167321733061</c:v>
                </c:pt>
                <c:pt idx="818">
                  <c:v>25.403208744675599</c:v>
                </c:pt>
                <c:pt idx="819">
                  <c:v>25.403250166921978</c:v>
                </c:pt>
                <c:pt idx="820">
                  <c:v>25.403291588472211</c:v>
                </c:pt>
                <c:pt idx="821">
                  <c:v>25.403333009326303</c:v>
                </c:pt>
                <c:pt idx="822">
                  <c:v>25.403374429484295</c:v>
                </c:pt>
                <c:pt idx="823">
                  <c:v>25.403415848946167</c:v>
                </c:pt>
                <c:pt idx="824">
                  <c:v>25.403457267711943</c:v>
                </c:pt>
                <c:pt idx="825">
                  <c:v>25.403498685781617</c:v>
                </c:pt>
                <c:pt idx="826">
                  <c:v>25.403540103155205</c:v>
                </c:pt>
                <c:pt idx="827">
                  <c:v>25.40358151983272</c:v>
                </c:pt>
                <c:pt idx="828">
                  <c:v>25.40362293581418</c:v>
                </c:pt>
                <c:pt idx="829">
                  <c:v>25.403664351099565</c:v>
                </c:pt>
                <c:pt idx="830">
                  <c:v>25.403705765688915</c:v>
                </c:pt>
                <c:pt idx="831">
                  <c:v>25.403747179582233</c:v>
                </c:pt>
                <c:pt idx="832">
                  <c:v>25.403788592779527</c:v>
                </c:pt>
                <c:pt idx="833">
                  <c:v>25.403830005280795</c:v>
                </c:pt>
                <c:pt idx="834">
                  <c:v>25.403871417086062</c:v>
                </c:pt>
                <c:pt idx="835">
                  <c:v>25.403912828195313</c:v>
                </c:pt>
                <c:pt idx="836">
                  <c:v>25.403954238608598</c:v>
                </c:pt>
                <c:pt idx="837">
                  <c:v>25.403995648325896</c:v>
                </c:pt>
                <c:pt idx="838">
                  <c:v>25.404037057347228</c:v>
                </c:pt>
                <c:pt idx="839">
                  <c:v>25.404078465672594</c:v>
                </c:pt>
                <c:pt idx="840">
                  <c:v>25.404119873302005</c:v>
                </c:pt>
                <c:pt idx="841">
                  <c:v>25.404161280235488</c:v>
                </c:pt>
                <c:pt idx="842">
                  <c:v>25.404202686473049</c:v>
                </c:pt>
                <c:pt idx="843">
                  <c:v>25.404244092014672</c:v>
                </c:pt>
                <c:pt idx="844">
                  <c:v>25.404285496860386</c:v>
                </c:pt>
                <c:pt idx="845">
                  <c:v>25.404326901010197</c:v>
                </c:pt>
                <c:pt idx="846">
                  <c:v>25.404368304464132</c:v>
                </c:pt>
                <c:pt idx="847">
                  <c:v>25.404409707222154</c:v>
                </c:pt>
                <c:pt idx="848">
                  <c:v>25.404451109284327</c:v>
                </c:pt>
                <c:pt idx="849">
                  <c:v>25.404492510650631</c:v>
                </c:pt>
                <c:pt idx="850">
                  <c:v>25.404533911321071</c:v>
                </c:pt>
                <c:pt idx="851">
                  <c:v>25.404575311295687</c:v>
                </c:pt>
                <c:pt idx="852">
                  <c:v>25.404616710574444</c:v>
                </c:pt>
                <c:pt idx="853">
                  <c:v>25.404658109157385</c:v>
                </c:pt>
                <c:pt idx="854">
                  <c:v>25.404699507044512</c:v>
                </c:pt>
                <c:pt idx="855">
                  <c:v>25.40474090423583</c:v>
                </c:pt>
                <c:pt idx="856">
                  <c:v>25.404782300731362</c:v>
                </c:pt>
                <c:pt idx="857">
                  <c:v>25.404823696531086</c:v>
                </c:pt>
                <c:pt idx="858">
                  <c:v>25.404865091635045</c:v>
                </c:pt>
                <c:pt idx="859">
                  <c:v>25.404906486043238</c:v>
                </c:pt>
                <c:pt idx="860">
                  <c:v>25.404947879755667</c:v>
                </c:pt>
                <c:pt idx="861">
                  <c:v>25.404989272772344</c:v>
                </c:pt>
                <c:pt idx="862">
                  <c:v>25.405030665093285</c:v>
                </c:pt>
                <c:pt idx="863">
                  <c:v>25.405072056718499</c:v>
                </c:pt>
                <c:pt idx="864">
                  <c:v>25.405113447647981</c:v>
                </c:pt>
                <c:pt idx="865">
                  <c:v>25.405154837881771</c:v>
                </c:pt>
                <c:pt idx="866">
                  <c:v>25.405196227419854</c:v>
                </c:pt>
                <c:pt idx="867">
                  <c:v>25.40523761626223</c:v>
                </c:pt>
                <c:pt idx="868">
                  <c:v>25.405279004408943</c:v>
                </c:pt>
                <c:pt idx="869">
                  <c:v>25.405320391859977</c:v>
                </c:pt>
                <c:pt idx="870">
                  <c:v>25.405361778615344</c:v>
                </c:pt>
                <c:pt idx="871">
                  <c:v>25.405403164675064</c:v>
                </c:pt>
                <c:pt idx="872">
                  <c:v>25.405444550039135</c:v>
                </c:pt>
                <c:pt idx="873">
                  <c:v>25.405485934707567</c:v>
                </c:pt>
                <c:pt idx="874">
                  <c:v>25.405527318680374</c:v>
                </c:pt>
                <c:pt idx="875">
                  <c:v>25.405568701957581</c:v>
                </c:pt>
                <c:pt idx="876">
                  <c:v>25.405610084539173</c:v>
                </c:pt>
                <c:pt idx="877">
                  <c:v>25.405651466425166</c:v>
                </c:pt>
                <c:pt idx="878">
                  <c:v>25.405692847615576</c:v>
                </c:pt>
                <c:pt idx="879">
                  <c:v>25.405734228110404</c:v>
                </c:pt>
                <c:pt idx="880">
                  <c:v>25.405775607909671</c:v>
                </c:pt>
                <c:pt idx="881">
                  <c:v>25.405816987013381</c:v>
                </c:pt>
                <c:pt idx="882">
                  <c:v>25.405858365421537</c:v>
                </c:pt>
                <c:pt idx="883">
                  <c:v>25.40589974313416</c:v>
                </c:pt>
                <c:pt idx="884">
                  <c:v>25.405941120151251</c:v>
                </c:pt>
                <c:pt idx="885">
                  <c:v>25.405982496472831</c:v>
                </c:pt>
                <c:pt idx="886">
                  <c:v>25.406023872098888</c:v>
                </c:pt>
                <c:pt idx="887">
                  <c:v>25.406065247029449</c:v>
                </c:pt>
                <c:pt idx="888">
                  <c:v>25.406106621264524</c:v>
                </c:pt>
                <c:pt idx="889">
                  <c:v>25.406147994804105</c:v>
                </c:pt>
                <c:pt idx="890">
                  <c:v>25.406189367648235</c:v>
                </c:pt>
                <c:pt idx="891">
                  <c:v>25.406230739796893</c:v>
                </c:pt>
                <c:pt idx="892">
                  <c:v>25.40627211125009</c:v>
                </c:pt>
                <c:pt idx="893">
                  <c:v>25.40631348200786</c:v>
                </c:pt>
                <c:pt idx="894">
                  <c:v>25.406354852070173</c:v>
                </c:pt>
                <c:pt idx="895">
                  <c:v>25.406396221437085</c:v>
                </c:pt>
                <c:pt idx="896">
                  <c:v>25.406437590108577</c:v>
                </c:pt>
                <c:pt idx="897">
                  <c:v>25.406478958084666</c:v>
                </c:pt>
                <c:pt idx="898">
                  <c:v>25.406520325365349</c:v>
                </c:pt>
                <c:pt idx="899">
                  <c:v>25.40656169195066</c:v>
                </c:pt>
                <c:pt idx="900">
                  <c:v>25.406603057840581</c:v>
                </c:pt>
                <c:pt idx="901">
                  <c:v>25.406644423035139</c:v>
                </c:pt>
                <c:pt idx="902">
                  <c:v>25.406685787534336</c:v>
                </c:pt>
                <c:pt idx="903">
                  <c:v>25.406727151338192</c:v>
                </c:pt>
                <c:pt idx="904">
                  <c:v>25.406768514446725</c:v>
                </c:pt>
                <c:pt idx="905">
                  <c:v>25.40680987685991</c:v>
                </c:pt>
                <c:pt idx="906">
                  <c:v>25.406851238577772</c:v>
                </c:pt>
                <c:pt idx="907">
                  <c:v>25.406892599600344</c:v>
                </c:pt>
                <c:pt idx="908">
                  <c:v>25.406933959927603</c:v>
                </c:pt>
                <c:pt idx="909">
                  <c:v>25.406975319559574</c:v>
                </c:pt>
                <c:pt idx="910">
                  <c:v>25.407016678496273</c:v>
                </c:pt>
                <c:pt idx="911">
                  <c:v>25.407058036737684</c:v>
                </c:pt>
                <c:pt idx="912">
                  <c:v>25.407099394283847</c:v>
                </c:pt>
                <c:pt idx="913">
                  <c:v>25.407140751134754</c:v>
                </c:pt>
                <c:pt idx="914">
                  <c:v>25.407182107290417</c:v>
                </c:pt>
                <c:pt idx="915">
                  <c:v>25.40722346275086</c:v>
                </c:pt>
                <c:pt idx="916">
                  <c:v>25.407264817516058</c:v>
                </c:pt>
                <c:pt idx="917">
                  <c:v>25.407306171586061</c:v>
                </c:pt>
                <c:pt idx="918">
                  <c:v>25.407347524960862</c:v>
                </c:pt>
                <c:pt idx="919">
                  <c:v>25.407388877640443</c:v>
                </c:pt>
                <c:pt idx="920">
                  <c:v>25.407430229624865</c:v>
                </c:pt>
                <c:pt idx="921">
                  <c:v>25.407471580914113</c:v>
                </c:pt>
                <c:pt idx="922">
                  <c:v>25.407512931508176</c:v>
                </c:pt>
                <c:pt idx="923">
                  <c:v>25.407554281407094</c:v>
                </c:pt>
                <c:pt idx="924">
                  <c:v>25.407595630610874</c:v>
                </c:pt>
                <c:pt idx="925">
                  <c:v>25.407636979119502</c:v>
                </c:pt>
                <c:pt idx="926">
                  <c:v>25.407678326933002</c:v>
                </c:pt>
                <c:pt idx="927">
                  <c:v>25.407719674051389</c:v>
                </c:pt>
                <c:pt idx="928">
                  <c:v>25.407761020474663</c:v>
                </c:pt>
                <c:pt idx="929">
                  <c:v>25.407802366202851</c:v>
                </c:pt>
                <c:pt idx="930">
                  <c:v>25.407843711235927</c:v>
                </c:pt>
                <c:pt idx="931">
                  <c:v>25.407885055573949</c:v>
                </c:pt>
                <c:pt idx="932">
                  <c:v>25.40792639921688</c:v>
                </c:pt>
                <c:pt idx="933">
                  <c:v>25.407967742164757</c:v>
                </c:pt>
                <c:pt idx="934">
                  <c:v>25.408009084417596</c:v>
                </c:pt>
                <c:pt idx="935">
                  <c:v>25.408050425975386</c:v>
                </c:pt>
                <c:pt idx="936">
                  <c:v>25.408091766838137</c:v>
                </c:pt>
                <c:pt idx="937">
                  <c:v>25.408133107005863</c:v>
                </c:pt>
                <c:pt idx="938">
                  <c:v>25.408174446478579</c:v>
                </c:pt>
                <c:pt idx="939">
                  <c:v>25.408215785256296</c:v>
                </c:pt>
                <c:pt idx="940">
                  <c:v>25.408257123339016</c:v>
                </c:pt>
                <c:pt idx="941">
                  <c:v>25.408298460726762</c:v>
                </c:pt>
                <c:pt idx="942">
                  <c:v>25.408339797419526</c:v>
                </c:pt>
                <c:pt idx="943">
                  <c:v>25.408381133417333</c:v>
                </c:pt>
                <c:pt idx="944">
                  <c:v>25.408422468720183</c:v>
                </c:pt>
                <c:pt idx="945">
                  <c:v>25.408463803328079</c:v>
                </c:pt>
                <c:pt idx="946">
                  <c:v>25.408505137241043</c:v>
                </c:pt>
                <c:pt idx="947">
                  <c:v>25.408546470459079</c:v>
                </c:pt>
                <c:pt idx="948">
                  <c:v>25.408587802982201</c:v>
                </c:pt>
                <c:pt idx="949">
                  <c:v>25.408629134810408</c:v>
                </c:pt>
                <c:pt idx="950">
                  <c:v>25.408670465943725</c:v>
                </c:pt>
                <c:pt idx="951">
                  <c:v>25.40871179638215</c:v>
                </c:pt>
                <c:pt idx="952">
                  <c:v>25.408753126125706</c:v>
                </c:pt>
                <c:pt idx="953">
                  <c:v>25.408794455174384</c:v>
                </c:pt>
                <c:pt idx="954">
                  <c:v>25.4088357835282</c:v>
                </c:pt>
                <c:pt idx="955">
                  <c:v>25.408877111187149</c:v>
                </c:pt>
                <c:pt idx="956">
                  <c:v>25.408918438151279</c:v>
                </c:pt>
                <c:pt idx="957">
                  <c:v>25.408959764420583</c:v>
                </c:pt>
                <c:pt idx="958">
                  <c:v>25.409001089995051</c:v>
                </c:pt>
                <c:pt idx="959">
                  <c:v>25.409042414874705</c:v>
                </c:pt>
                <c:pt idx="960">
                  <c:v>25.409083739059575</c:v>
                </c:pt>
                <c:pt idx="961">
                  <c:v>25.409125062549631</c:v>
                </c:pt>
                <c:pt idx="962">
                  <c:v>25.409166385344918</c:v>
                </c:pt>
                <c:pt idx="963">
                  <c:v>25.409207707445425</c:v>
                </c:pt>
                <c:pt idx="964">
                  <c:v>25.409249028851168</c:v>
                </c:pt>
                <c:pt idx="965">
                  <c:v>25.40929034956217</c:v>
                </c:pt>
                <c:pt idx="966">
                  <c:v>25.409331669578407</c:v>
                </c:pt>
                <c:pt idx="967">
                  <c:v>25.409372988899918</c:v>
                </c:pt>
                <c:pt idx="968">
                  <c:v>25.409414307526699</c:v>
                </c:pt>
                <c:pt idx="969">
                  <c:v>25.409455625458772</c:v>
                </c:pt>
                <c:pt idx="970">
                  <c:v>25.409496942696123</c:v>
                </c:pt>
                <c:pt idx="971">
                  <c:v>25.409538259238786</c:v>
                </c:pt>
                <c:pt idx="972">
                  <c:v>25.409579575086763</c:v>
                </c:pt>
                <c:pt idx="973">
                  <c:v>25.409620890240049</c:v>
                </c:pt>
                <c:pt idx="974">
                  <c:v>25.409662204698684</c:v>
                </c:pt>
                <c:pt idx="975">
                  <c:v>25.409703518462667</c:v>
                </c:pt>
                <c:pt idx="976">
                  <c:v>25.409744831531981</c:v>
                </c:pt>
                <c:pt idx="977">
                  <c:v>25.409786143906658</c:v>
                </c:pt>
                <c:pt idx="978">
                  <c:v>25.409827455586704</c:v>
                </c:pt>
                <c:pt idx="979">
                  <c:v>25.409868766572131</c:v>
                </c:pt>
                <c:pt idx="980">
                  <c:v>25.40991007686296</c:v>
                </c:pt>
                <c:pt idx="981">
                  <c:v>25.409951386459159</c:v>
                </c:pt>
                <c:pt idx="982">
                  <c:v>25.409992695360796</c:v>
                </c:pt>
                <c:pt idx="983">
                  <c:v>25.410034003567834</c:v>
                </c:pt>
                <c:pt idx="984">
                  <c:v>25.410075311080291</c:v>
                </c:pt>
                <c:pt idx="985">
                  <c:v>25.410116617898201</c:v>
                </c:pt>
                <c:pt idx="986">
                  <c:v>25.410157924021544</c:v>
                </c:pt>
                <c:pt idx="987">
                  <c:v>25.410199229450356</c:v>
                </c:pt>
                <c:pt idx="988">
                  <c:v>25.410240534184631</c:v>
                </c:pt>
                <c:pt idx="989">
                  <c:v>25.410281838224371</c:v>
                </c:pt>
                <c:pt idx="990">
                  <c:v>25.410323141569595</c:v>
                </c:pt>
                <c:pt idx="991">
                  <c:v>25.410364444220328</c:v>
                </c:pt>
                <c:pt idx="992">
                  <c:v>25.41040574617654</c:v>
                </c:pt>
                <c:pt idx="993">
                  <c:v>25.410447047438279</c:v>
                </c:pt>
                <c:pt idx="994">
                  <c:v>25.41048834800554</c:v>
                </c:pt>
                <c:pt idx="995">
                  <c:v>25.410529647878331</c:v>
                </c:pt>
                <c:pt idx="996">
                  <c:v>25.410570947056666</c:v>
                </c:pt>
                <c:pt idx="997">
                  <c:v>25.410612245540555</c:v>
                </c:pt>
                <c:pt idx="998">
                  <c:v>25.41065354333</c:v>
                </c:pt>
                <c:pt idx="999">
                  <c:v>25.410694840425023</c:v>
                </c:pt>
                <c:pt idx="1000">
                  <c:v>25.410736136825612</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35.100000000000186</c:v>
                </c:pt>
                <c:pt idx="500">
                  <c:v>35.200000000000188</c:v>
                </c:pt>
                <c:pt idx="501">
                  <c:v>35.300000000000189</c:v>
                </c:pt>
                <c:pt idx="502">
                  <c:v>35.40000000000019</c:v>
                </c:pt>
                <c:pt idx="503">
                  <c:v>35.500000000000192</c:v>
                </c:pt>
                <c:pt idx="504">
                  <c:v>35.600000000000193</c:v>
                </c:pt>
                <c:pt idx="505">
                  <c:v>35.700000000000195</c:v>
                </c:pt>
                <c:pt idx="506">
                  <c:v>35.800000000000196</c:v>
                </c:pt>
                <c:pt idx="507">
                  <c:v>35.900000000000198</c:v>
                </c:pt>
                <c:pt idx="508">
                  <c:v>36.000000000000199</c:v>
                </c:pt>
                <c:pt idx="509">
                  <c:v>36.1000000000002</c:v>
                </c:pt>
                <c:pt idx="510">
                  <c:v>36.200000000000202</c:v>
                </c:pt>
                <c:pt idx="511">
                  <c:v>36.300000000000203</c:v>
                </c:pt>
                <c:pt idx="512">
                  <c:v>36.400000000000205</c:v>
                </c:pt>
                <c:pt idx="513">
                  <c:v>36.500000000000206</c:v>
                </c:pt>
                <c:pt idx="514">
                  <c:v>36.600000000000207</c:v>
                </c:pt>
                <c:pt idx="515">
                  <c:v>36.600100000000211</c:v>
                </c:pt>
                <c:pt idx="516">
                  <c:v>36.600200000000214</c:v>
                </c:pt>
                <c:pt idx="517">
                  <c:v>36.600300000000217</c:v>
                </c:pt>
                <c:pt idx="518">
                  <c:v>36.600400000000221</c:v>
                </c:pt>
                <c:pt idx="519">
                  <c:v>36.600500000000224</c:v>
                </c:pt>
                <c:pt idx="520">
                  <c:v>36.600600000000227</c:v>
                </c:pt>
                <c:pt idx="521">
                  <c:v>36.600700000000231</c:v>
                </c:pt>
                <c:pt idx="522">
                  <c:v>36.600800000000234</c:v>
                </c:pt>
                <c:pt idx="523">
                  <c:v>36.600900000000237</c:v>
                </c:pt>
                <c:pt idx="524">
                  <c:v>36.601000000000241</c:v>
                </c:pt>
                <c:pt idx="525">
                  <c:v>36.601100000000244</c:v>
                </c:pt>
                <c:pt idx="526">
                  <c:v>36.601200000000247</c:v>
                </c:pt>
                <c:pt idx="527">
                  <c:v>36.601300000000251</c:v>
                </c:pt>
                <c:pt idx="528">
                  <c:v>36.601400000000254</c:v>
                </c:pt>
                <c:pt idx="529">
                  <c:v>36.601500000000257</c:v>
                </c:pt>
                <c:pt idx="530">
                  <c:v>36.601600000000261</c:v>
                </c:pt>
                <c:pt idx="531">
                  <c:v>36.601700000000264</c:v>
                </c:pt>
                <c:pt idx="532">
                  <c:v>36.601800000000267</c:v>
                </c:pt>
                <c:pt idx="533">
                  <c:v>36.601900000000271</c:v>
                </c:pt>
                <c:pt idx="534">
                  <c:v>36.602000000000274</c:v>
                </c:pt>
                <c:pt idx="535">
                  <c:v>36.602100000000277</c:v>
                </c:pt>
                <c:pt idx="536">
                  <c:v>36.602200000000281</c:v>
                </c:pt>
                <c:pt idx="537">
                  <c:v>36.602300000000284</c:v>
                </c:pt>
                <c:pt idx="538">
                  <c:v>36.602400000000287</c:v>
                </c:pt>
                <c:pt idx="539">
                  <c:v>36.60250000000029</c:v>
                </c:pt>
                <c:pt idx="540">
                  <c:v>36.602600000000294</c:v>
                </c:pt>
                <c:pt idx="541">
                  <c:v>36.602700000000297</c:v>
                </c:pt>
                <c:pt idx="542">
                  <c:v>36.6028000000003</c:v>
                </c:pt>
                <c:pt idx="543">
                  <c:v>36.602900000000304</c:v>
                </c:pt>
                <c:pt idx="544">
                  <c:v>36.603000000000307</c:v>
                </c:pt>
                <c:pt idx="545">
                  <c:v>36.60310000000031</c:v>
                </c:pt>
                <c:pt idx="546">
                  <c:v>36.603200000000314</c:v>
                </c:pt>
                <c:pt idx="547">
                  <c:v>36.603300000000317</c:v>
                </c:pt>
                <c:pt idx="548">
                  <c:v>36.60340000000032</c:v>
                </c:pt>
                <c:pt idx="549">
                  <c:v>36.603500000000324</c:v>
                </c:pt>
                <c:pt idx="550">
                  <c:v>36.603600000000327</c:v>
                </c:pt>
                <c:pt idx="551">
                  <c:v>36.60370000000033</c:v>
                </c:pt>
                <c:pt idx="552">
                  <c:v>36.603800000000334</c:v>
                </c:pt>
                <c:pt idx="553">
                  <c:v>36.603900000000337</c:v>
                </c:pt>
                <c:pt idx="554">
                  <c:v>36.60400000000034</c:v>
                </c:pt>
                <c:pt idx="555">
                  <c:v>36.604100000000344</c:v>
                </c:pt>
                <c:pt idx="556">
                  <c:v>36.604200000000347</c:v>
                </c:pt>
                <c:pt idx="557">
                  <c:v>36.60430000000035</c:v>
                </c:pt>
                <c:pt idx="558">
                  <c:v>36.604400000000354</c:v>
                </c:pt>
                <c:pt idx="559">
                  <c:v>36.604500000000357</c:v>
                </c:pt>
                <c:pt idx="560">
                  <c:v>36.60460000000036</c:v>
                </c:pt>
                <c:pt idx="561">
                  <c:v>36.604700000000364</c:v>
                </c:pt>
                <c:pt idx="562">
                  <c:v>36.604800000000367</c:v>
                </c:pt>
                <c:pt idx="563">
                  <c:v>36.60490000000037</c:v>
                </c:pt>
                <c:pt idx="564">
                  <c:v>36.605000000000373</c:v>
                </c:pt>
                <c:pt idx="565">
                  <c:v>36.605100000000377</c:v>
                </c:pt>
                <c:pt idx="566">
                  <c:v>36.60520000000038</c:v>
                </c:pt>
                <c:pt idx="567">
                  <c:v>36.605300000000383</c:v>
                </c:pt>
                <c:pt idx="568">
                  <c:v>36.605400000000387</c:v>
                </c:pt>
                <c:pt idx="569">
                  <c:v>36.60550000000039</c:v>
                </c:pt>
                <c:pt idx="570">
                  <c:v>36.605600000000393</c:v>
                </c:pt>
                <c:pt idx="571">
                  <c:v>36.605700000000397</c:v>
                </c:pt>
                <c:pt idx="572">
                  <c:v>36.6058000000004</c:v>
                </c:pt>
                <c:pt idx="573">
                  <c:v>36.605900000000403</c:v>
                </c:pt>
                <c:pt idx="574">
                  <c:v>36.606000000000407</c:v>
                </c:pt>
                <c:pt idx="575">
                  <c:v>36.60610000000041</c:v>
                </c:pt>
                <c:pt idx="576">
                  <c:v>36.606200000000413</c:v>
                </c:pt>
                <c:pt idx="577">
                  <c:v>36.606300000000417</c:v>
                </c:pt>
                <c:pt idx="578">
                  <c:v>36.60640000000042</c:v>
                </c:pt>
                <c:pt idx="579">
                  <c:v>36.606500000000423</c:v>
                </c:pt>
                <c:pt idx="580">
                  <c:v>36.606600000000427</c:v>
                </c:pt>
                <c:pt idx="581">
                  <c:v>36.60670000000043</c:v>
                </c:pt>
                <c:pt idx="582">
                  <c:v>36.606800000000433</c:v>
                </c:pt>
                <c:pt idx="583">
                  <c:v>36.606900000000437</c:v>
                </c:pt>
                <c:pt idx="584">
                  <c:v>36.60700000000044</c:v>
                </c:pt>
                <c:pt idx="585">
                  <c:v>36.607100000000443</c:v>
                </c:pt>
                <c:pt idx="586">
                  <c:v>36.607200000000446</c:v>
                </c:pt>
                <c:pt idx="587">
                  <c:v>36.60730000000045</c:v>
                </c:pt>
                <c:pt idx="588">
                  <c:v>36.607400000000453</c:v>
                </c:pt>
                <c:pt idx="589">
                  <c:v>36.607500000000456</c:v>
                </c:pt>
                <c:pt idx="590">
                  <c:v>36.60760000000046</c:v>
                </c:pt>
                <c:pt idx="591">
                  <c:v>36.607700000000463</c:v>
                </c:pt>
                <c:pt idx="592">
                  <c:v>36.607800000000466</c:v>
                </c:pt>
                <c:pt idx="593">
                  <c:v>36.60790000000047</c:v>
                </c:pt>
                <c:pt idx="594">
                  <c:v>36.608000000000473</c:v>
                </c:pt>
                <c:pt idx="595">
                  <c:v>36.608100000000476</c:v>
                </c:pt>
                <c:pt idx="596">
                  <c:v>36.60820000000048</c:v>
                </c:pt>
                <c:pt idx="597">
                  <c:v>36.608300000000483</c:v>
                </c:pt>
                <c:pt idx="598">
                  <c:v>36.608400000000486</c:v>
                </c:pt>
                <c:pt idx="599">
                  <c:v>36.60850000000049</c:v>
                </c:pt>
                <c:pt idx="600">
                  <c:v>36.608600000000493</c:v>
                </c:pt>
                <c:pt idx="601">
                  <c:v>36.608700000000496</c:v>
                </c:pt>
                <c:pt idx="602">
                  <c:v>36.6088000000005</c:v>
                </c:pt>
                <c:pt idx="603">
                  <c:v>36.608900000000503</c:v>
                </c:pt>
                <c:pt idx="604">
                  <c:v>36.609000000000506</c:v>
                </c:pt>
                <c:pt idx="605">
                  <c:v>36.60910000000051</c:v>
                </c:pt>
                <c:pt idx="606">
                  <c:v>36.609200000000513</c:v>
                </c:pt>
                <c:pt idx="607">
                  <c:v>36.609300000000516</c:v>
                </c:pt>
                <c:pt idx="608">
                  <c:v>36.60940000000052</c:v>
                </c:pt>
                <c:pt idx="609">
                  <c:v>36.609500000000523</c:v>
                </c:pt>
                <c:pt idx="610">
                  <c:v>36.609600000000526</c:v>
                </c:pt>
                <c:pt idx="611">
                  <c:v>36.609700000000529</c:v>
                </c:pt>
                <c:pt idx="612">
                  <c:v>36.609800000000533</c:v>
                </c:pt>
                <c:pt idx="613">
                  <c:v>36.609900000000536</c:v>
                </c:pt>
                <c:pt idx="614">
                  <c:v>36.610000000000539</c:v>
                </c:pt>
                <c:pt idx="615">
                  <c:v>36.610100000000543</c:v>
                </c:pt>
                <c:pt idx="616">
                  <c:v>36.610200000000546</c:v>
                </c:pt>
                <c:pt idx="617">
                  <c:v>36.610300000000549</c:v>
                </c:pt>
                <c:pt idx="618">
                  <c:v>36.610400000000553</c:v>
                </c:pt>
                <c:pt idx="619">
                  <c:v>36.610500000000556</c:v>
                </c:pt>
                <c:pt idx="620">
                  <c:v>36.610600000000559</c:v>
                </c:pt>
                <c:pt idx="621">
                  <c:v>36.610700000000563</c:v>
                </c:pt>
                <c:pt idx="622">
                  <c:v>36.610800000000566</c:v>
                </c:pt>
                <c:pt idx="623">
                  <c:v>36.610900000000569</c:v>
                </c:pt>
                <c:pt idx="624">
                  <c:v>36.611000000000573</c:v>
                </c:pt>
                <c:pt idx="625">
                  <c:v>36.611100000000576</c:v>
                </c:pt>
                <c:pt idx="626">
                  <c:v>36.611200000000579</c:v>
                </c:pt>
                <c:pt idx="627">
                  <c:v>36.611300000000583</c:v>
                </c:pt>
                <c:pt idx="628">
                  <c:v>36.611400000000586</c:v>
                </c:pt>
                <c:pt idx="629">
                  <c:v>36.611500000000589</c:v>
                </c:pt>
                <c:pt idx="630">
                  <c:v>36.611600000000593</c:v>
                </c:pt>
                <c:pt idx="631">
                  <c:v>36.611700000000596</c:v>
                </c:pt>
                <c:pt idx="632">
                  <c:v>36.611800000000599</c:v>
                </c:pt>
                <c:pt idx="633">
                  <c:v>36.611900000000603</c:v>
                </c:pt>
                <c:pt idx="634">
                  <c:v>36.612000000000606</c:v>
                </c:pt>
                <c:pt idx="635">
                  <c:v>36.612100000000609</c:v>
                </c:pt>
                <c:pt idx="636">
                  <c:v>36.612200000000612</c:v>
                </c:pt>
                <c:pt idx="637">
                  <c:v>36.612300000000616</c:v>
                </c:pt>
                <c:pt idx="638">
                  <c:v>36.612400000000619</c:v>
                </c:pt>
                <c:pt idx="639">
                  <c:v>36.612500000000622</c:v>
                </c:pt>
                <c:pt idx="640">
                  <c:v>36.612600000000626</c:v>
                </c:pt>
                <c:pt idx="641">
                  <c:v>36.612700000000629</c:v>
                </c:pt>
                <c:pt idx="642">
                  <c:v>36.612800000000632</c:v>
                </c:pt>
                <c:pt idx="643">
                  <c:v>36.612900000000636</c:v>
                </c:pt>
                <c:pt idx="644">
                  <c:v>36.613000000000639</c:v>
                </c:pt>
                <c:pt idx="645">
                  <c:v>36.613100000000642</c:v>
                </c:pt>
                <c:pt idx="646">
                  <c:v>36.613200000000646</c:v>
                </c:pt>
                <c:pt idx="647">
                  <c:v>36.613300000000649</c:v>
                </c:pt>
                <c:pt idx="648">
                  <c:v>36.613400000000652</c:v>
                </c:pt>
                <c:pt idx="649">
                  <c:v>36.613500000000656</c:v>
                </c:pt>
                <c:pt idx="650">
                  <c:v>36.613600000000659</c:v>
                </c:pt>
                <c:pt idx="651">
                  <c:v>36.613700000000662</c:v>
                </c:pt>
                <c:pt idx="652">
                  <c:v>36.613800000000666</c:v>
                </c:pt>
                <c:pt idx="653">
                  <c:v>36.613900000000669</c:v>
                </c:pt>
                <c:pt idx="654">
                  <c:v>36.614000000000672</c:v>
                </c:pt>
                <c:pt idx="655">
                  <c:v>36.614100000000676</c:v>
                </c:pt>
                <c:pt idx="656">
                  <c:v>36.614200000000679</c:v>
                </c:pt>
                <c:pt idx="657">
                  <c:v>36.614300000000682</c:v>
                </c:pt>
                <c:pt idx="658">
                  <c:v>36.614400000000686</c:v>
                </c:pt>
                <c:pt idx="659">
                  <c:v>36.614500000000689</c:v>
                </c:pt>
                <c:pt idx="660">
                  <c:v>36.614600000000692</c:v>
                </c:pt>
                <c:pt idx="661">
                  <c:v>36.614700000000695</c:v>
                </c:pt>
                <c:pt idx="662">
                  <c:v>36.614800000000699</c:v>
                </c:pt>
                <c:pt idx="663">
                  <c:v>36.614900000000702</c:v>
                </c:pt>
                <c:pt idx="664">
                  <c:v>36.615000000000705</c:v>
                </c:pt>
                <c:pt idx="665">
                  <c:v>36.615100000000709</c:v>
                </c:pt>
                <c:pt idx="666">
                  <c:v>36.615200000000712</c:v>
                </c:pt>
                <c:pt idx="667">
                  <c:v>36.615300000000715</c:v>
                </c:pt>
                <c:pt idx="668">
                  <c:v>36.615400000000719</c:v>
                </c:pt>
                <c:pt idx="669">
                  <c:v>36.615500000000722</c:v>
                </c:pt>
                <c:pt idx="670">
                  <c:v>36.615600000000725</c:v>
                </c:pt>
                <c:pt idx="671">
                  <c:v>36.615700000000729</c:v>
                </c:pt>
                <c:pt idx="672">
                  <c:v>36.615800000000732</c:v>
                </c:pt>
                <c:pt idx="673">
                  <c:v>36.615900000000735</c:v>
                </c:pt>
                <c:pt idx="674">
                  <c:v>36.616000000000739</c:v>
                </c:pt>
                <c:pt idx="675">
                  <c:v>36.616100000000742</c:v>
                </c:pt>
                <c:pt idx="676">
                  <c:v>36.616200000000745</c:v>
                </c:pt>
                <c:pt idx="677">
                  <c:v>36.616300000000749</c:v>
                </c:pt>
                <c:pt idx="678">
                  <c:v>36.616400000000752</c:v>
                </c:pt>
                <c:pt idx="679">
                  <c:v>36.616500000000755</c:v>
                </c:pt>
                <c:pt idx="680">
                  <c:v>36.616600000000759</c:v>
                </c:pt>
                <c:pt idx="681">
                  <c:v>36.616700000000762</c:v>
                </c:pt>
                <c:pt idx="682">
                  <c:v>36.616800000000765</c:v>
                </c:pt>
                <c:pt idx="683">
                  <c:v>36.616900000000769</c:v>
                </c:pt>
                <c:pt idx="684">
                  <c:v>36.617000000000772</c:v>
                </c:pt>
                <c:pt idx="685">
                  <c:v>36.617100000000775</c:v>
                </c:pt>
                <c:pt idx="686">
                  <c:v>36.617200000000778</c:v>
                </c:pt>
                <c:pt idx="687">
                  <c:v>36.617300000000782</c:v>
                </c:pt>
                <c:pt idx="688">
                  <c:v>36.617400000000785</c:v>
                </c:pt>
                <c:pt idx="689">
                  <c:v>36.617500000000788</c:v>
                </c:pt>
                <c:pt idx="690">
                  <c:v>36.617600000000792</c:v>
                </c:pt>
                <c:pt idx="691">
                  <c:v>36.617700000000795</c:v>
                </c:pt>
                <c:pt idx="692">
                  <c:v>36.617800000000798</c:v>
                </c:pt>
                <c:pt idx="693">
                  <c:v>36.617900000000802</c:v>
                </c:pt>
                <c:pt idx="694">
                  <c:v>36.618000000000805</c:v>
                </c:pt>
                <c:pt idx="695">
                  <c:v>36.618100000000808</c:v>
                </c:pt>
                <c:pt idx="696">
                  <c:v>36.618200000000812</c:v>
                </c:pt>
                <c:pt idx="697">
                  <c:v>36.618300000000815</c:v>
                </c:pt>
                <c:pt idx="698">
                  <c:v>36.618400000000818</c:v>
                </c:pt>
                <c:pt idx="699">
                  <c:v>36.618500000000822</c:v>
                </c:pt>
                <c:pt idx="700">
                  <c:v>36.618600000000825</c:v>
                </c:pt>
                <c:pt idx="701">
                  <c:v>36.618700000000828</c:v>
                </c:pt>
                <c:pt idx="702">
                  <c:v>36.618800000000832</c:v>
                </c:pt>
                <c:pt idx="703">
                  <c:v>36.618900000000835</c:v>
                </c:pt>
                <c:pt idx="704">
                  <c:v>36.619000000000838</c:v>
                </c:pt>
                <c:pt idx="705">
                  <c:v>36.619100000000842</c:v>
                </c:pt>
                <c:pt idx="706">
                  <c:v>36.619200000000845</c:v>
                </c:pt>
                <c:pt idx="707">
                  <c:v>36.619300000000848</c:v>
                </c:pt>
                <c:pt idx="708">
                  <c:v>36.619400000000851</c:v>
                </c:pt>
                <c:pt idx="709">
                  <c:v>36.619500000000855</c:v>
                </c:pt>
                <c:pt idx="710">
                  <c:v>36.619600000000858</c:v>
                </c:pt>
                <c:pt idx="711">
                  <c:v>36.619700000000861</c:v>
                </c:pt>
                <c:pt idx="712">
                  <c:v>36.619800000000865</c:v>
                </c:pt>
                <c:pt idx="713">
                  <c:v>36.619900000000868</c:v>
                </c:pt>
                <c:pt idx="714">
                  <c:v>36.620000000000871</c:v>
                </c:pt>
                <c:pt idx="715">
                  <c:v>36.620100000000875</c:v>
                </c:pt>
                <c:pt idx="716">
                  <c:v>36.620200000000878</c:v>
                </c:pt>
                <c:pt idx="717">
                  <c:v>36.620300000000881</c:v>
                </c:pt>
                <c:pt idx="718">
                  <c:v>36.620400000000885</c:v>
                </c:pt>
                <c:pt idx="719">
                  <c:v>36.620500000000888</c:v>
                </c:pt>
                <c:pt idx="720">
                  <c:v>36.620600000000891</c:v>
                </c:pt>
                <c:pt idx="721">
                  <c:v>36.620700000000895</c:v>
                </c:pt>
                <c:pt idx="722">
                  <c:v>36.620800000000898</c:v>
                </c:pt>
                <c:pt idx="723">
                  <c:v>36.620900000000901</c:v>
                </c:pt>
                <c:pt idx="724">
                  <c:v>36.621000000000905</c:v>
                </c:pt>
                <c:pt idx="725">
                  <c:v>36.621100000000908</c:v>
                </c:pt>
                <c:pt idx="726">
                  <c:v>36.621200000000911</c:v>
                </c:pt>
                <c:pt idx="727">
                  <c:v>36.621300000000915</c:v>
                </c:pt>
                <c:pt idx="728">
                  <c:v>36.621400000000918</c:v>
                </c:pt>
                <c:pt idx="729">
                  <c:v>36.621500000000921</c:v>
                </c:pt>
                <c:pt idx="730">
                  <c:v>36.621600000000925</c:v>
                </c:pt>
                <c:pt idx="731">
                  <c:v>36.621700000000928</c:v>
                </c:pt>
                <c:pt idx="732">
                  <c:v>36.621800000000931</c:v>
                </c:pt>
                <c:pt idx="733">
                  <c:v>36.621900000000934</c:v>
                </c:pt>
                <c:pt idx="734">
                  <c:v>36.622000000000938</c:v>
                </c:pt>
                <c:pt idx="735">
                  <c:v>36.622100000000941</c:v>
                </c:pt>
                <c:pt idx="736">
                  <c:v>36.622200000000944</c:v>
                </c:pt>
                <c:pt idx="737">
                  <c:v>36.622300000000948</c:v>
                </c:pt>
                <c:pt idx="738">
                  <c:v>36.622400000000951</c:v>
                </c:pt>
                <c:pt idx="739">
                  <c:v>36.622500000000954</c:v>
                </c:pt>
                <c:pt idx="740">
                  <c:v>36.622600000000958</c:v>
                </c:pt>
                <c:pt idx="741">
                  <c:v>36.622700000000961</c:v>
                </c:pt>
                <c:pt idx="742">
                  <c:v>36.622800000000964</c:v>
                </c:pt>
                <c:pt idx="743">
                  <c:v>36.622900000000968</c:v>
                </c:pt>
                <c:pt idx="744">
                  <c:v>36.623000000000971</c:v>
                </c:pt>
                <c:pt idx="745">
                  <c:v>36.623100000000974</c:v>
                </c:pt>
                <c:pt idx="746">
                  <c:v>36.623200000000978</c:v>
                </c:pt>
                <c:pt idx="747">
                  <c:v>36.623300000000981</c:v>
                </c:pt>
                <c:pt idx="748">
                  <c:v>36.623400000000984</c:v>
                </c:pt>
                <c:pt idx="749">
                  <c:v>36.623500000000988</c:v>
                </c:pt>
                <c:pt idx="750">
                  <c:v>36.623600000000991</c:v>
                </c:pt>
                <c:pt idx="751">
                  <c:v>36.623700000000994</c:v>
                </c:pt>
                <c:pt idx="752">
                  <c:v>36.623800000000998</c:v>
                </c:pt>
                <c:pt idx="753">
                  <c:v>36.623900000001001</c:v>
                </c:pt>
                <c:pt idx="754">
                  <c:v>36.624000000001004</c:v>
                </c:pt>
                <c:pt idx="755">
                  <c:v>36.624100000001008</c:v>
                </c:pt>
                <c:pt idx="756">
                  <c:v>36.624200000001011</c:v>
                </c:pt>
                <c:pt idx="757">
                  <c:v>36.624300000001014</c:v>
                </c:pt>
                <c:pt idx="758">
                  <c:v>36.624400000001017</c:v>
                </c:pt>
                <c:pt idx="759">
                  <c:v>36.624500000001021</c:v>
                </c:pt>
                <c:pt idx="760">
                  <c:v>36.624600000001024</c:v>
                </c:pt>
                <c:pt idx="761">
                  <c:v>36.624700000001027</c:v>
                </c:pt>
                <c:pt idx="762">
                  <c:v>36.624800000001031</c:v>
                </c:pt>
                <c:pt idx="763">
                  <c:v>36.624900000001034</c:v>
                </c:pt>
                <c:pt idx="764">
                  <c:v>36.625000000001037</c:v>
                </c:pt>
                <c:pt idx="765">
                  <c:v>36.625100000001041</c:v>
                </c:pt>
                <c:pt idx="766">
                  <c:v>36.625200000001044</c:v>
                </c:pt>
                <c:pt idx="767">
                  <c:v>36.625300000001047</c:v>
                </c:pt>
                <c:pt idx="768">
                  <c:v>36.625400000001051</c:v>
                </c:pt>
                <c:pt idx="769">
                  <c:v>36.625500000001054</c:v>
                </c:pt>
                <c:pt idx="770">
                  <c:v>36.625600000001057</c:v>
                </c:pt>
                <c:pt idx="771">
                  <c:v>36.625700000001061</c:v>
                </c:pt>
                <c:pt idx="772">
                  <c:v>36.625800000001064</c:v>
                </c:pt>
                <c:pt idx="773">
                  <c:v>36.625900000001067</c:v>
                </c:pt>
                <c:pt idx="774">
                  <c:v>36.626000000001071</c:v>
                </c:pt>
                <c:pt idx="775">
                  <c:v>36.626100000001074</c:v>
                </c:pt>
                <c:pt idx="776">
                  <c:v>36.626200000001077</c:v>
                </c:pt>
                <c:pt idx="777">
                  <c:v>36.626300000001081</c:v>
                </c:pt>
                <c:pt idx="778">
                  <c:v>36.626400000001084</c:v>
                </c:pt>
                <c:pt idx="779">
                  <c:v>36.626500000001087</c:v>
                </c:pt>
                <c:pt idx="780">
                  <c:v>36.626600000001091</c:v>
                </c:pt>
                <c:pt idx="781">
                  <c:v>36.626700000001094</c:v>
                </c:pt>
                <c:pt idx="782">
                  <c:v>36.626800000001097</c:v>
                </c:pt>
                <c:pt idx="783">
                  <c:v>36.6269000000011</c:v>
                </c:pt>
                <c:pt idx="784">
                  <c:v>36.627000000001104</c:v>
                </c:pt>
                <c:pt idx="785">
                  <c:v>36.627100000001107</c:v>
                </c:pt>
                <c:pt idx="786">
                  <c:v>36.62720000000111</c:v>
                </c:pt>
                <c:pt idx="787">
                  <c:v>36.627300000001114</c:v>
                </c:pt>
                <c:pt idx="788">
                  <c:v>36.627400000001117</c:v>
                </c:pt>
                <c:pt idx="789">
                  <c:v>36.62750000000112</c:v>
                </c:pt>
                <c:pt idx="790">
                  <c:v>36.627600000001124</c:v>
                </c:pt>
                <c:pt idx="791">
                  <c:v>36.627700000001127</c:v>
                </c:pt>
                <c:pt idx="792">
                  <c:v>36.62780000000113</c:v>
                </c:pt>
                <c:pt idx="793">
                  <c:v>36.627900000001134</c:v>
                </c:pt>
                <c:pt idx="794">
                  <c:v>36.628000000001137</c:v>
                </c:pt>
                <c:pt idx="795">
                  <c:v>36.62810000000114</c:v>
                </c:pt>
                <c:pt idx="796">
                  <c:v>36.628200000001144</c:v>
                </c:pt>
                <c:pt idx="797">
                  <c:v>36.628300000001147</c:v>
                </c:pt>
                <c:pt idx="798">
                  <c:v>36.62840000000115</c:v>
                </c:pt>
                <c:pt idx="799">
                  <c:v>36.628500000001154</c:v>
                </c:pt>
                <c:pt idx="800">
                  <c:v>36.628600000001157</c:v>
                </c:pt>
                <c:pt idx="801">
                  <c:v>36.62870000000116</c:v>
                </c:pt>
                <c:pt idx="802">
                  <c:v>36.628800000001164</c:v>
                </c:pt>
                <c:pt idx="803">
                  <c:v>36.628900000001167</c:v>
                </c:pt>
                <c:pt idx="804">
                  <c:v>36.62900000000117</c:v>
                </c:pt>
                <c:pt idx="805">
                  <c:v>36.629100000001173</c:v>
                </c:pt>
                <c:pt idx="806">
                  <c:v>36.629200000001177</c:v>
                </c:pt>
                <c:pt idx="807">
                  <c:v>36.62930000000118</c:v>
                </c:pt>
                <c:pt idx="808">
                  <c:v>36.629400000001183</c:v>
                </c:pt>
                <c:pt idx="809">
                  <c:v>36.629500000001187</c:v>
                </c:pt>
                <c:pt idx="810">
                  <c:v>36.62960000000119</c:v>
                </c:pt>
                <c:pt idx="811">
                  <c:v>36.629700000001193</c:v>
                </c:pt>
                <c:pt idx="812">
                  <c:v>36.629800000001197</c:v>
                </c:pt>
                <c:pt idx="813">
                  <c:v>36.6299000000012</c:v>
                </c:pt>
                <c:pt idx="814">
                  <c:v>36.630000000001203</c:v>
                </c:pt>
                <c:pt idx="815">
                  <c:v>36.630100000001207</c:v>
                </c:pt>
                <c:pt idx="816">
                  <c:v>36.63020000000121</c:v>
                </c:pt>
                <c:pt idx="817">
                  <c:v>36.630300000001213</c:v>
                </c:pt>
                <c:pt idx="818">
                  <c:v>36.630400000001217</c:v>
                </c:pt>
                <c:pt idx="819">
                  <c:v>36.63050000000122</c:v>
                </c:pt>
                <c:pt idx="820">
                  <c:v>36.630600000001223</c:v>
                </c:pt>
                <c:pt idx="821">
                  <c:v>36.630700000001227</c:v>
                </c:pt>
                <c:pt idx="822">
                  <c:v>36.63080000000123</c:v>
                </c:pt>
                <c:pt idx="823">
                  <c:v>36.630900000001233</c:v>
                </c:pt>
                <c:pt idx="824">
                  <c:v>36.631000000001237</c:v>
                </c:pt>
                <c:pt idx="825">
                  <c:v>36.63110000000124</c:v>
                </c:pt>
                <c:pt idx="826">
                  <c:v>36.631200000001243</c:v>
                </c:pt>
                <c:pt idx="827">
                  <c:v>36.631300000001247</c:v>
                </c:pt>
                <c:pt idx="828">
                  <c:v>36.63140000000125</c:v>
                </c:pt>
                <c:pt idx="829">
                  <c:v>36.631500000001253</c:v>
                </c:pt>
                <c:pt idx="830">
                  <c:v>36.631600000001256</c:v>
                </c:pt>
                <c:pt idx="831">
                  <c:v>36.63170000000126</c:v>
                </c:pt>
                <c:pt idx="832">
                  <c:v>36.631800000001263</c:v>
                </c:pt>
                <c:pt idx="833">
                  <c:v>36.631900000001266</c:v>
                </c:pt>
                <c:pt idx="834">
                  <c:v>36.63200000000127</c:v>
                </c:pt>
                <c:pt idx="835">
                  <c:v>36.632100000001273</c:v>
                </c:pt>
                <c:pt idx="836">
                  <c:v>36.632200000001276</c:v>
                </c:pt>
                <c:pt idx="837">
                  <c:v>36.63230000000128</c:v>
                </c:pt>
                <c:pt idx="838">
                  <c:v>36.632400000001283</c:v>
                </c:pt>
                <c:pt idx="839">
                  <c:v>36.632500000001286</c:v>
                </c:pt>
                <c:pt idx="840">
                  <c:v>36.63260000000129</c:v>
                </c:pt>
                <c:pt idx="841">
                  <c:v>36.632700000001293</c:v>
                </c:pt>
                <c:pt idx="842">
                  <c:v>36.632800000001296</c:v>
                </c:pt>
                <c:pt idx="843">
                  <c:v>36.6329000000013</c:v>
                </c:pt>
                <c:pt idx="844">
                  <c:v>36.633000000001303</c:v>
                </c:pt>
                <c:pt idx="845">
                  <c:v>36.633100000001306</c:v>
                </c:pt>
                <c:pt idx="846">
                  <c:v>36.63320000000131</c:v>
                </c:pt>
                <c:pt idx="847">
                  <c:v>36.633300000001313</c:v>
                </c:pt>
                <c:pt idx="848">
                  <c:v>36.633400000001316</c:v>
                </c:pt>
                <c:pt idx="849">
                  <c:v>36.63350000000132</c:v>
                </c:pt>
                <c:pt idx="850">
                  <c:v>36.633600000001323</c:v>
                </c:pt>
                <c:pt idx="851">
                  <c:v>36.633700000001326</c:v>
                </c:pt>
                <c:pt idx="852">
                  <c:v>36.63380000000133</c:v>
                </c:pt>
                <c:pt idx="853">
                  <c:v>36.633900000001333</c:v>
                </c:pt>
                <c:pt idx="854">
                  <c:v>36.634000000001336</c:v>
                </c:pt>
                <c:pt idx="855">
                  <c:v>36.634100000001339</c:v>
                </c:pt>
                <c:pt idx="856">
                  <c:v>36.634200000001343</c:v>
                </c:pt>
                <c:pt idx="857">
                  <c:v>36.634300000001346</c:v>
                </c:pt>
                <c:pt idx="858">
                  <c:v>36.634400000001349</c:v>
                </c:pt>
                <c:pt idx="859">
                  <c:v>36.634500000001353</c:v>
                </c:pt>
                <c:pt idx="860">
                  <c:v>36.634600000001356</c:v>
                </c:pt>
                <c:pt idx="861">
                  <c:v>36.634700000001359</c:v>
                </c:pt>
                <c:pt idx="862">
                  <c:v>36.634800000001363</c:v>
                </c:pt>
                <c:pt idx="863">
                  <c:v>36.634900000001366</c:v>
                </c:pt>
                <c:pt idx="864">
                  <c:v>36.635000000001369</c:v>
                </c:pt>
                <c:pt idx="865">
                  <c:v>36.635100000001373</c:v>
                </c:pt>
                <c:pt idx="866">
                  <c:v>36.635200000001376</c:v>
                </c:pt>
                <c:pt idx="867">
                  <c:v>36.635300000001379</c:v>
                </c:pt>
                <c:pt idx="868">
                  <c:v>36.635400000001383</c:v>
                </c:pt>
                <c:pt idx="869">
                  <c:v>36.635500000001386</c:v>
                </c:pt>
                <c:pt idx="870">
                  <c:v>36.635600000001389</c:v>
                </c:pt>
                <c:pt idx="871">
                  <c:v>36.635700000001393</c:v>
                </c:pt>
                <c:pt idx="872">
                  <c:v>36.635800000001396</c:v>
                </c:pt>
                <c:pt idx="873">
                  <c:v>36.635900000001399</c:v>
                </c:pt>
                <c:pt idx="874">
                  <c:v>36.636000000001403</c:v>
                </c:pt>
                <c:pt idx="875">
                  <c:v>36.636100000001406</c:v>
                </c:pt>
                <c:pt idx="876">
                  <c:v>36.636200000001409</c:v>
                </c:pt>
                <c:pt idx="877">
                  <c:v>36.636300000001413</c:v>
                </c:pt>
                <c:pt idx="878">
                  <c:v>36.636400000001416</c:v>
                </c:pt>
                <c:pt idx="879">
                  <c:v>36.636500000001419</c:v>
                </c:pt>
                <c:pt idx="880">
                  <c:v>36.636600000001422</c:v>
                </c:pt>
                <c:pt idx="881">
                  <c:v>36.636700000001426</c:v>
                </c:pt>
                <c:pt idx="882">
                  <c:v>36.636800000001429</c:v>
                </c:pt>
                <c:pt idx="883">
                  <c:v>36.636900000001432</c:v>
                </c:pt>
                <c:pt idx="884">
                  <c:v>36.637000000001436</c:v>
                </c:pt>
                <c:pt idx="885">
                  <c:v>36.637100000001439</c:v>
                </c:pt>
                <c:pt idx="886">
                  <c:v>36.637200000001442</c:v>
                </c:pt>
                <c:pt idx="887">
                  <c:v>36.637300000001446</c:v>
                </c:pt>
                <c:pt idx="888">
                  <c:v>36.637400000001449</c:v>
                </c:pt>
                <c:pt idx="889">
                  <c:v>36.637500000001452</c:v>
                </c:pt>
                <c:pt idx="890">
                  <c:v>36.637600000001456</c:v>
                </c:pt>
                <c:pt idx="891">
                  <c:v>36.637700000001459</c:v>
                </c:pt>
                <c:pt idx="892">
                  <c:v>36.637800000001462</c:v>
                </c:pt>
                <c:pt idx="893">
                  <c:v>36.637900000001466</c:v>
                </c:pt>
                <c:pt idx="894">
                  <c:v>36.638000000001469</c:v>
                </c:pt>
                <c:pt idx="895">
                  <c:v>36.638100000001472</c:v>
                </c:pt>
                <c:pt idx="896">
                  <c:v>36.638200000001476</c:v>
                </c:pt>
                <c:pt idx="897">
                  <c:v>36.638300000001479</c:v>
                </c:pt>
                <c:pt idx="898">
                  <c:v>36.638400000001482</c:v>
                </c:pt>
                <c:pt idx="899">
                  <c:v>36.638500000001486</c:v>
                </c:pt>
                <c:pt idx="900">
                  <c:v>36.638600000001489</c:v>
                </c:pt>
                <c:pt idx="901">
                  <c:v>36.638700000001492</c:v>
                </c:pt>
                <c:pt idx="902">
                  <c:v>36.638800000001496</c:v>
                </c:pt>
                <c:pt idx="903">
                  <c:v>36.638900000001499</c:v>
                </c:pt>
                <c:pt idx="904">
                  <c:v>36.639000000001502</c:v>
                </c:pt>
                <c:pt idx="905">
                  <c:v>36.639100000001505</c:v>
                </c:pt>
                <c:pt idx="906">
                  <c:v>36.639200000001509</c:v>
                </c:pt>
                <c:pt idx="907">
                  <c:v>36.639300000001512</c:v>
                </c:pt>
                <c:pt idx="908">
                  <c:v>36.639400000001515</c:v>
                </c:pt>
                <c:pt idx="909">
                  <c:v>36.639500000001519</c:v>
                </c:pt>
                <c:pt idx="910">
                  <c:v>36.639600000001522</c:v>
                </c:pt>
                <c:pt idx="911">
                  <c:v>36.639700000001525</c:v>
                </c:pt>
                <c:pt idx="912">
                  <c:v>36.639800000001529</c:v>
                </c:pt>
                <c:pt idx="913">
                  <c:v>36.639900000001532</c:v>
                </c:pt>
                <c:pt idx="914">
                  <c:v>36.640000000001535</c:v>
                </c:pt>
                <c:pt idx="915">
                  <c:v>36.640100000001539</c:v>
                </c:pt>
                <c:pt idx="916">
                  <c:v>36.640200000001542</c:v>
                </c:pt>
                <c:pt idx="917">
                  <c:v>36.640300000001545</c:v>
                </c:pt>
                <c:pt idx="918">
                  <c:v>36.640400000001549</c:v>
                </c:pt>
                <c:pt idx="919">
                  <c:v>36.640500000001552</c:v>
                </c:pt>
                <c:pt idx="920">
                  <c:v>36.640600000001555</c:v>
                </c:pt>
                <c:pt idx="921">
                  <c:v>36.640700000001559</c:v>
                </c:pt>
                <c:pt idx="922">
                  <c:v>36.640800000001562</c:v>
                </c:pt>
                <c:pt idx="923">
                  <c:v>36.640900000001565</c:v>
                </c:pt>
                <c:pt idx="924">
                  <c:v>36.641000000001569</c:v>
                </c:pt>
                <c:pt idx="925">
                  <c:v>36.641100000001572</c:v>
                </c:pt>
                <c:pt idx="926">
                  <c:v>36.641200000001575</c:v>
                </c:pt>
                <c:pt idx="927">
                  <c:v>36.641300000001578</c:v>
                </c:pt>
                <c:pt idx="928">
                  <c:v>36.641400000001582</c:v>
                </c:pt>
                <c:pt idx="929">
                  <c:v>36.641500000001585</c:v>
                </c:pt>
                <c:pt idx="930">
                  <c:v>36.641600000001588</c:v>
                </c:pt>
                <c:pt idx="931">
                  <c:v>36.641700000001592</c:v>
                </c:pt>
                <c:pt idx="932">
                  <c:v>36.641800000001595</c:v>
                </c:pt>
                <c:pt idx="933">
                  <c:v>36.641900000001598</c:v>
                </c:pt>
                <c:pt idx="934">
                  <c:v>36.642000000001602</c:v>
                </c:pt>
                <c:pt idx="935">
                  <c:v>36.642100000001605</c:v>
                </c:pt>
                <c:pt idx="936">
                  <c:v>36.642200000001608</c:v>
                </c:pt>
                <c:pt idx="937">
                  <c:v>36.642300000001612</c:v>
                </c:pt>
                <c:pt idx="938">
                  <c:v>36.642400000001615</c:v>
                </c:pt>
                <c:pt idx="939">
                  <c:v>36.642500000001618</c:v>
                </c:pt>
                <c:pt idx="940">
                  <c:v>36.642600000001622</c:v>
                </c:pt>
                <c:pt idx="941">
                  <c:v>36.642700000001625</c:v>
                </c:pt>
                <c:pt idx="942">
                  <c:v>36.642800000001628</c:v>
                </c:pt>
                <c:pt idx="943">
                  <c:v>36.642900000001632</c:v>
                </c:pt>
                <c:pt idx="944">
                  <c:v>36.643000000001635</c:v>
                </c:pt>
                <c:pt idx="945">
                  <c:v>36.643100000001638</c:v>
                </c:pt>
                <c:pt idx="946">
                  <c:v>36.643200000001642</c:v>
                </c:pt>
                <c:pt idx="947">
                  <c:v>36.643300000001645</c:v>
                </c:pt>
                <c:pt idx="948">
                  <c:v>36.643400000001648</c:v>
                </c:pt>
                <c:pt idx="949">
                  <c:v>36.643500000001652</c:v>
                </c:pt>
                <c:pt idx="950">
                  <c:v>36.643600000001655</c:v>
                </c:pt>
                <c:pt idx="951">
                  <c:v>36.643700000001658</c:v>
                </c:pt>
                <c:pt idx="952">
                  <c:v>36.643800000001661</c:v>
                </c:pt>
                <c:pt idx="953">
                  <c:v>36.643900000001665</c:v>
                </c:pt>
                <c:pt idx="954">
                  <c:v>36.644000000001668</c:v>
                </c:pt>
                <c:pt idx="955">
                  <c:v>36.644100000001671</c:v>
                </c:pt>
                <c:pt idx="956">
                  <c:v>36.644200000001675</c:v>
                </c:pt>
                <c:pt idx="957">
                  <c:v>36.644300000001678</c:v>
                </c:pt>
                <c:pt idx="958">
                  <c:v>36.644400000001681</c:v>
                </c:pt>
                <c:pt idx="959">
                  <c:v>36.644500000001685</c:v>
                </c:pt>
                <c:pt idx="960">
                  <c:v>36.644600000001688</c:v>
                </c:pt>
                <c:pt idx="961">
                  <c:v>36.644700000001691</c:v>
                </c:pt>
                <c:pt idx="962">
                  <c:v>36.644800000001695</c:v>
                </c:pt>
                <c:pt idx="963">
                  <c:v>36.644900000001698</c:v>
                </c:pt>
                <c:pt idx="964">
                  <c:v>36.645000000001701</c:v>
                </c:pt>
                <c:pt idx="965">
                  <c:v>36.645100000001705</c:v>
                </c:pt>
                <c:pt idx="966">
                  <c:v>36.645200000001708</c:v>
                </c:pt>
                <c:pt idx="967">
                  <c:v>36.645300000001711</c:v>
                </c:pt>
                <c:pt idx="968">
                  <c:v>36.645400000001715</c:v>
                </c:pt>
                <c:pt idx="969">
                  <c:v>36.645500000001718</c:v>
                </c:pt>
                <c:pt idx="970">
                  <c:v>36.645600000001721</c:v>
                </c:pt>
                <c:pt idx="971">
                  <c:v>36.645700000001725</c:v>
                </c:pt>
                <c:pt idx="972">
                  <c:v>36.645800000001728</c:v>
                </c:pt>
                <c:pt idx="973">
                  <c:v>36.645900000001731</c:v>
                </c:pt>
                <c:pt idx="974">
                  <c:v>36.646000000001735</c:v>
                </c:pt>
                <c:pt idx="975">
                  <c:v>36.646100000001738</c:v>
                </c:pt>
                <c:pt idx="976">
                  <c:v>36.646200000001741</c:v>
                </c:pt>
                <c:pt idx="977">
                  <c:v>36.646300000001744</c:v>
                </c:pt>
                <c:pt idx="978">
                  <c:v>36.646400000001748</c:v>
                </c:pt>
                <c:pt idx="979">
                  <c:v>36.646500000001751</c:v>
                </c:pt>
                <c:pt idx="980">
                  <c:v>36.646600000001754</c:v>
                </c:pt>
                <c:pt idx="981">
                  <c:v>36.646700000001758</c:v>
                </c:pt>
                <c:pt idx="982">
                  <c:v>36.646800000001761</c:v>
                </c:pt>
                <c:pt idx="983">
                  <c:v>36.646900000001764</c:v>
                </c:pt>
                <c:pt idx="984">
                  <c:v>36.647000000001768</c:v>
                </c:pt>
                <c:pt idx="985">
                  <c:v>36.647100000001771</c:v>
                </c:pt>
                <c:pt idx="986">
                  <c:v>36.647200000001774</c:v>
                </c:pt>
                <c:pt idx="987">
                  <c:v>36.647300000001778</c:v>
                </c:pt>
                <c:pt idx="988">
                  <c:v>36.647400000001781</c:v>
                </c:pt>
                <c:pt idx="989">
                  <c:v>36.647500000001784</c:v>
                </c:pt>
                <c:pt idx="990">
                  <c:v>36.647600000001788</c:v>
                </c:pt>
                <c:pt idx="991">
                  <c:v>36.647700000001791</c:v>
                </c:pt>
                <c:pt idx="992">
                  <c:v>36.647800000001794</c:v>
                </c:pt>
                <c:pt idx="993">
                  <c:v>36.647900000001798</c:v>
                </c:pt>
                <c:pt idx="994">
                  <c:v>36.648000000001801</c:v>
                </c:pt>
                <c:pt idx="995">
                  <c:v>36.648100000001804</c:v>
                </c:pt>
                <c:pt idx="996">
                  <c:v>36.648200000001808</c:v>
                </c:pt>
                <c:pt idx="997">
                  <c:v>36.648300000001811</c:v>
                </c:pt>
                <c:pt idx="998">
                  <c:v>36.648400000001814</c:v>
                </c:pt>
                <c:pt idx="999">
                  <c:v>36.648500000001818</c:v>
                </c:pt>
                <c:pt idx="1000">
                  <c:v>36.648600000001821</c:v>
                </c:pt>
              </c:numCache>
            </c:numRef>
          </c:xVal>
          <c:yVal>
            <c:numRef>
              <c:f>Calculs!$I$4:$I$1004</c:f>
              <c:numCache>
                <c:formatCode>0.00</c:formatCode>
                <c:ptCount val="1001"/>
                <c:pt idx="0">
                  <c:v>176.71085285003218</c:v>
                </c:pt>
                <c:pt idx="1">
                  <c:v>176.57130060940941</c:v>
                </c:pt>
                <c:pt idx="2">
                  <c:v>176.88616466770776</c:v>
                </c:pt>
                <c:pt idx="3">
                  <c:v>177.39105279821607</c:v>
                </c:pt>
                <c:pt idx="4">
                  <c:v>177.82199697642605</c:v>
                </c:pt>
                <c:pt idx="5">
                  <c:v>178.21394564382408</c:v>
                </c:pt>
                <c:pt idx="6">
                  <c:v>178.6017944360471</c:v>
                </c:pt>
                <c:pt idx="7">
                  <c:v>178.98554980380604</c:v>
                </c:pt>
                <c:pt idx="8">
                  <c:v>179.36521828370786</c:v>
                </c:pt>
                <c:pt idx="9">
                  <c:v>179.74080649693155</c:v>
                </c:pt>
                <c:pt idx="10">
                  <c:v>180.11232114790806</c:v>
                </c:pt>
                <c:pt idx="11">
                  <c:v>180.47976902300303</c:v>
                </c:pt>
                <c:pt idx="12">
                  <c:v>180.84315698920383</c:v>
                </c:pt>
                <c:pt idx="13">
                  <c:v>181.20249199280991</c:v>
                </c:pt>
                <c:pt idx="14">
                  <c:v>181.55778105812735</c:v>
                </c:pt>
                <c:pt idx="15">
                  <c:v>181.90903128616753</c:v>
                </c:pt>
                <c:pt idx="16">
                  <c:v>182.25624985335006</c:v>
                </c:pt>
                <c:pt idx="17">
                  <c:v>182.59944401021008</c:v>
                </c:pt>
                <c:pt idx="18">
                  <c:v>182.93862108011024</c:v>
                </c:pt>
                <c:pt idx="19">
                  <c:v>183.27378845795738</c:v>
                </c:pt>
                <c:pt idx="20">
                  <c:v>183.60495360892415</c:v>
                </c:pt>
                <c:pt idx="21">
                  <c:v>183.93212406717538</c:v>
                </c:pt>
                <c:pt idx="22">
                  <c:v>184.25530743459998</c:v>
                </c:pt>
                <c:pt idx="23">
                  <c:v>184.57451137954777</c:v>
                </c:pt>
                <c:pt idx="24">
                  <c:v>184.88974363557202</c:v>
                </c:pt>
                <c:pt idx="25">
                  <c:v>185.20101200017726</c:v>
                </c:pt>
                <c:pt idx="26">
                  <c:v>185.50832433357294</c:v>
                </c:pt>
                <c:pt idx="27">
                  <c:v>185.81168855743283</c:v>
                </c:pt>
                <c:pt idx="28">
                  <c:v>186.11111265366023</c:v>
                </c:pt>
                <c:pt idx="29">
                  <c:v>186.40660466315936</c:v>
                </c:pt>
                <c:pt idx="30">
                  <c:v>186.69817268461279</c:v>
                </c:pt>
                <c:pt idx="31">
                  <c:v>186.9858248732649</c:v>
                </c:pt>
                <c:pt idx="32">
                  <c:v>187.26956943971228</c:v>
                </c:pt>
                <c:pt idx="33">
                  <c:v>187.54941464869984</c:v>
                </c:pt>
                <c:pt idx="34">
                  <c:v>187.82536881792404</c:v>
                </c:pt>
                <c:pt idx="35">
                  <c:v>188.09744031684252</c:v>
                </c:pt>
                <c:pt idx="36">
                  <c:v>188.3656375654904</c:v>
                </c:pt>
                <c:pt idx="37">
                  <c:v>188.62996903330372</c:v>
                </c:pt>
                <c:pt idx="38">
                  <c:v>188.89044323794943</c:v>
                </c:pt>
                <c:pt idx="39">
                  <c:v>189.14706874416271</c:v>
                </c:pt>
                <c:pt idx="40">
                  <c:v>189.39985416259123</c:v>
                </c:pt>
                <c:pt idx="41">
                  <c:v>189.64880814864659</c:v>
                </c:pt>
                <c:pt idx="42">
                  <c:v>189.8939394013631</c:v>
                </c:pt>
                <c:pt idx="43">
                  <c:v>190.1352566622638</c:v>
                </c:pt>
                <c:pt idx="44">
                  <c:v>190.3727687142339</c:v>
                </c:pt>
                <c:pt idx="45">
                  <c:v>190.60648438040184</c:v>
                </c:pt>
                <c:pt idx="46">
                  <c:v>190.83641252302769</c:v>
                </c:pt>
                <c:pt idx="47">
                  <c:v>191.06256204239926</c:v>
                </c:pt>
                <c:pt idx="48">
                  <c:v>191.284941875736</c:v>
                </c:pt>
                <c:pt idx="49">
                  <c:v>191.50356099610036</c:v>
                </c:pt>
                <c:pt idx="50">
                  <c:v>191.71842841131729</c:v>
                </c:pt>
                <c:pt idx="51">
                  <c:v>191.92955316290124</c:v>
                </c:pt>
                <c:pt idx="52">
                  <c:v>192.13694432499139</c:v>
                </c:pt>
                <c:pt idx="53">
                  <c:v>192.34061100329447</c:v>
                </c:pt>
                <c:pt idx="54">
                  <c:v>192.54056233403603</c:v>
                </c:pt>
                <c:pt idx="55">
                  <c:v>192.73680748291943</c:v>
                </c:pt>
                <c:pt idx="56">
                  <c:v>192.92935564409291</c:v>
                </c:pt>
                <c:pt idx="57">
                  <c:v>193.11821603912514</c:v>
                </c:pt>
                <c:pt idx="58">
                  <c:v>193.30339791598843</c:v>
                </c:pt>
                <c:pt idx="59">
                  <c:v>193.48491054805058</c:v>
                </c:pt>
                <c:pt idx="60">
                  <c:v>193.66276323307483</c:v>
                </c:pt>
                <c:pt idx="61">
                  <c:v>193.83696529222806</c:v>
                </c:pt>
                <c:pt idx="62">
                  <c:v>194.00752606909725</c:v>
                </c:pt>
                <c:pt idx="63">
                  <c:v>194.17141379843318</c:v>
                </c:pt>
                <c:pt idx="64">
                  <c:v>194.32560387398132</c:v>
                </c:pt>
                <c:pt idx="65">
                  <c:v>194.47012194762917</c:v>
                </c:pt>
                <c:pt idx="66">
                  <c:v>194.60499380749746</c:v>
                </c:pt>
                <c:pt idx="67">
                  <c:v>194.72745705054837</c:v>
                </c:pt>
                <c:pt idx="68">
                  <c:v>194.83475626996736</c:v>
                </c:pt>
                <c:pt idx="69">
                  <c:v>194.92197339704393</c:v>
                </c:pt>
                <c:pt idx="70">
                  <c:v>194.9842034043138</c:v>
                </c:pt>
                <c:pt idx="71">
                  <c:v>195.02151695471321</c:v>
                </c:pt>
                <c:pt idx="72">
                  <c:v>195.03398553178829</c:v>
                </c:pt>
                <c:pt idx="73">
                  <c:v>195.02168139924657</c:v>
                </c:pt>
                <c:pt idx="74">
                  <c:v>194.98467756086083</c:v>
                </c:pt>
                <c:pt idx="75">
                  <c:v>194.92304772073695</c:v>
                </c:pt>
                <c:pt idx="76">
                  <c:v>194.83686624395477</c:v>
                </c:pt>
                <c:pt idx="77">
                  <c:v>194.72620811759262</c:v>
                </c:pt>
                <c:pt idx="78">
                  <c:v>194.59114891214389</c:v>
                </c:pt>
                <c:pt idx="79">
                  <c:v>194.43176474333481</c:v>
                </c:pt>
                <c:pt idx="80">
                  <c:v>194.24813223435066</c:v>
                </c:pt>
                <c:pt idx="81">
                  <c:v>194.04623052498272</c:v>
                </c:pt>
                <c:pt idx="82">
                  <c:v>193.83202044351881</c:v>
                </c:pt>
                <c:pt idx="83">
                  <c:v>193.60554090998608</c:v>
                </c:pt>
                <c:pt idx="84">
                  <c:v>193.36683081442112</c:v>
                </c:pt>
                <c:pt idx="85">
                  <c:v>193.11592900834748</c:v>
                </c:pt>
                <c:pt idx="86">
                  <c:v>192.85287429637452</c:v>
                </c:pt>
                <c:pt idx="87">
                  <c:v>192.57770542791658</c:v>
                </c:pt>
                <c:pt idx="88">
                  <c:v>192.29046108903282</c:v>
                </c:pt>
                <c:pt idx="89">
                  <c:v>191.9930449235307</c:v>
                </c:pt>
                <c:pt idx="90">
                  <c:v>191.68735430921504</c:v>
                </c:pt>
                <c:pt idx="91">
                  <c:v>191.37341509290596</c:v>
                </c:pt>
                <c:pt idx="92">
                  <c:v>191.05125301258482</c:v>
                </c:pt>
                <c:pt idx="93">
                  <c:v>190.72136004180092</c:v>
                </c:pt>
                <c:pt idx="94">
                  <c:v>190.38422647268706</c:v>
                </c:pt>
                <c:pt idx="95">
                  <c:v>190.03987453014875</c:v>
                </c:pt>
                <c:pt idx="96">
                  <c:v>189.68832632272074</c:v>
                </c:pt>
                <c:pt idx="97">
                  <c:v>189.33146945938634</c:v>
                </c:pt>
                <c:pt idx="98">
                  <c:v>188.97118510460467</c:v>
                </c:pt>
                <c:pt idx="99">
                  <c:v>188.60748229593884</c:v>
                </c:pt>
                <c:pt idx="100">
                  <c:v>188.24036999782982</c:v>
                </c:pt>
                <c:pt idx="101">
                  <c:v>187.86985710142363</c:v>
                </c:pt>
                <c:pt idx="102">
                  <c:v>187.4959524244037</c:v>
                </c:pt>
                <c:pt idx="103">
                  <c:v>187.11866471082854</c:v>
                </c:pt>
                <c:pt idx="104">
                  <c:v>186.73800263097462</c:v>
                </c:pt>
                <c:pt idx="105">
                  <c:v>186.35397478118412</c:v>
                </c:pt>
                <c:pt idx="106">
                  <c:v>185.96658968371779</c:v>
                </c:pt>
                <c:pt idx="107">
                  <c:v>185.57585578661249</c:v>
                </c:pt>
                <c:pt idx="108">
                  <c:v>185.18178146354356</c:v>
                </c:pt>
                <c:pt idx="109">
                  <c:v>184.78670733887054</c:v>
                </c:pt>
                <c:pt idx="110">
                  <c:v>184.39296604670773</c:v>
                </c:pt>
                <c:pt idx="111">
                  <c:v>184.00054999371497</c:v>
                </c:pt>
                <c:pt idx="112">
                  <c:v>183.60945164429037</c:v>
                </c:pt>
                <c:pt idx="113">
                  <c:v>183.21966352001999</c:v>
                </c:pt>
                <c:pt idx="114">
                  <c:v>182.83117819913363</c:v>
                </c:pt>
                <c:pt idx="115">
                  <c:v>182.44398831596712</c:v>
                </c:pt>
                <c:pt idx="116">
                  <c:v>182.05808656043047</c:v>
                </c:pt>
                <c:pt idx="117">
                  <c:v>181.67346567748231</c:v>
                </c:pt>
                <c:pt idx="118">
                  <c:v>181.29011846661029</c:v>
                </c:pt>
                <c:pt idx="119">
                  <c:v>180.90803778131698</c:v>
                </c:pt>
                <c:pt idx="120">
                  <c:v>180.52721652861229</c:v>
                </c:pt>
                <c:pt idx="121">
                  <c:v>180.14764766851104</c:v>
                </c:pt>
                <c:pt idx="122">
                  <c:v>179.76932421353644</c:v>
                </c:pt>
                <c:pt idx="123">
                  <c:v>179.39223922822913</c:v>
                </c:pt>
                <c:pt idx="124">
                  <c:v>179.01638582866178</c:v>
                </c:pt>
                <c:pt idx="125">
                  <c:v>178.64175718195912</c:v>
                </c:pt>
                <c:pt idx="126">
                  <c:v>178.26834650582313</c:v>
                </c:pt>
                <c:pt idx="127">
                  <c:v>177.89614706806407</c:v>
                </c:pt>
                <c:pt idx="128">
                  <c:v>177.52515218613604</c:v>
                </c:pt>
                <c:pt idx="129">
                  <c:v>177.15535522667838</c:v>
                </c:pt>
                <c:pt idx="130">
                  <c:v>176.7867496050616</c:v>
                </c:pt>
                <c:pt idx="131">
                  <c:v>176.41932878493881</c:v>
                </c:pt>
                <c:pt idx="132">
                  <c:v>176.05308627780187</c:v>
                </c:pt>
                <c:pt idx="133">
                  <c:v>175.68801564254238</c:v>
                </c:pt>
                <c:pt idx="134">
                  <c:v>175.3241104850178</c:v>
                </c:pt>
                <c:pt idx="135">
                  <c:v>174.96136445762201</c:v>
                </c:pt>
                <c:pt idx="136">
                  <c:v>174.59977125886087</c:v>
                </c:pt>
                <c:pt idx="137">
                  <c:v>174.23932463293229</c:v>
                </c:pt>
                <c:pt idx="138">
                  <c:v>173.8800183693109</c:v>
                </c:pt>
                <c:pt idx="139">
                  <c:v>173.52184630233731</c:v>
                </c:pt>
                <c:pt idx="140">
                  <c:v>173.16480231081187</c:v>
                </c:pt>
                <c:pt idx="141">
                  <c:v>172.80888031759264</c:v>
                </c:pt>
                <c:pt idx="142">
                  <c:v>172.45407428919822</c:v>
                </c:pt>
                <c:pt idx="143">
                  <c:v>172.1003782354143</c:v>
                </c:pt>
                <c:pt idx="144">
                  <c:v>171.74778620890481</c:v>
                </c:pt>
                <c:pt idx="145">
                  <c:v>171.39629230482734</c:v>
                </c:pt>
                <c:pt idx="146">
                  <c:v>171.04589066045241</c:v>
                </c:pt>
                <c:pt idx="147">
                  <c:v>170.69657545478711</c:v>
                </c:pt>
                <c:pt idx="148">
                  <c:v>170.3483409082026</c:v>
                </c:pt>
                <c:pt idx="149">
                  <c:v>170.00118128206589</c:v>
                </c:pt>
                <c:pt idx="150">
                  <c:v>169.65509087837506</c:v>
                </c:pt>
                <c:pt idx="151">
                  <c:v>169.31006403939907</c:v>
                </c:pt>
                <c:pt idx="152">
                  <c:v>168.96609514732066</c:v>
                </c:pt>
                <c:pt idx="153">
                  <c:v>168.62317862388369</c:v>
                </c:pt>
                <c:pt idx="154">
                  <c:v>168.28130893004393</c:v>
                </c:pt>
                <c:pt idx="155">
                  <c:v>167.94048056562352</c:v>
                </c:pt>
                <c:pt idx="156">
                  <c:v>167.60068806896919</c:v>
                </c:pt>
                <c:pt idx="157">
                  <c:v>167.26192601661418</c:v>
                </c:pt>
                <c:pt idx="158">
                  <c:v>166.92418902294352</c:v>
                </c:pt>
                <c:pt idx="159">
                  <c:v>166.58747173986302</c:v>
                </c:pt>
                <c:pt idx="160">
                  <c:v>166.25176885647161</c:v>
                </c:pt>
                <c:pt idx="161">
                  <c:v>165.91707509873723</c:v>
                </c:pt>
                <c:pt idx="162">
                  <c:v>165.58338522917606</c:v>
                </c:pt>
                <c:pt idx="163">
                  <c:v>165.2506940465351</c:v>
                </c:pt>
                <c:pt idx="164">
                  <c:v>164.91899638547821</c:v>
                </c:pt>
                <c:pt idx="165">
                  <c:v>164.5882871162751</c:v>
                </c:pt>
                <c:pt idx="166">
                  <c:v>164.25856114449385</c:v>
                </c:pt>
                <c:pt idx="167">
                  <c:v>163.92981341069665</c:v>
                </c:pt>
                <c:pt idx="168">
                  <c:v>163.60203889013846</c:v>
                </c:pt>
                <c:pt idx="169">
                  <c:v>163.27523259246885</c:v>
                </c:pt>
                <c:pt idx="170">
                  <c:v>162.9493895614373</c:v>
                </c:pt>
                <c:pt idx="171">
                  <c:v>162.6245048746008</c:v>
                </c:pt>
                <c:pt idx="172">
                  <c:v>162.30057364303522</c:v>
                </c:pt>
                <c:pt idx="173">
                  <c:v>161.97759101104924</c:v>
                </c:pt>
                <c:pt idx="174">
                  <c:v>161.65555215590129</c:v>
                </c:pt>
                <c:pt idx="175">
                  <c:v>161.33445228751927</c:v>
                </c:pt>
                <c:pt idx="176">
                  <c:v>161.01428664822356</c:v>
                </c:pt>
                <c:pt idx="177">
                  <c:v>160.69505051245233</c:v>
                </c:pt>
                <c:pt idx="178">
                  <c:v>160.37673918648994</c:v>
                </c:pt>
                <c:pt idx="179">
                  <c:v>160.05934800819827</c:v>
                </c:pt>
                <c:pt idx="180">
                  <c:v>159.74287234675015</c:v>
                </c:pt>
                <c:pt idx="181">
                  <c:v>159.42730760236634</c:v>
                </c:pt>
                <c:pt idx="182">
                  <c:v>159.1126492060545</c:v>
                </c:pt>
                <c:pt idx="183">
                  <c:v>158.79889261935119</c:v>
                </c:pt>
                <c:pt idx="184">
                  <c:v>158.48603333406615</c:v>
                </c:pt>
                <c:pt idx="185">
                  <c:v>158.1740668720295</c:v>
                </c:pt>
                <c:pt idx="186">
                  <c:v>157.86298878484132</c:v>
                </c:pt>
                <c:pt idx="187">
                  <c:v>157.55279465362366</c:v>
                </c:pt>
                <c:pt idx="188">
                  <c:v>157.24348008877521</c:v>
                </c:pt>
                <c:pt idx="189">
                  <c:v>156.93504072972826</c:v>
                </c:pt>
                <c:pt idx="190">
                  <c:v>156.62747224470826</c:v>
                </c:pt>
                <c:pt idx="191">
                  <c:v>156.32077033049558</c:v>
                </c:pt>
                <c:pt idx="192">
                  <c:v>156.01493071218988</c:v>
                </c:pt>
                <c:pt idx="193">
                  <c:v>155.70994914297663</c:v>
                </c:pt>
                <c:pt idx="194">
                  <c:v>155.405821403896</c:v>
                </c:pt>
                <c:pt idx="195">
                  <c:v>155.10254330361403</c:v>
                </c:pt>
                <c:pt idx="196">
                  <c:v>154.80011067819621</c:v>
                </c:pt>
                <c:pt idx="197">
                  <c:v>154.49851939088299</c:v>
                </c:pt>
                <c:pt idx="198">
                  <c:v>154.19776533186791</c:v>
                </c:pt>
                <c:pt idx="199">
                  <c:v>153.89784441807748</c:v>
                </c:pt>
                <c:pt idx="200">
                  <c:v>153.59875259295364</c:v>
                </c:pt>
                <c:pt idx="201">
                  <c:v>150.61624494147227</c:v>
                </c:pt>
                <c:pt idx="202">
                  <c:v>147.715029690694</c:v>
                </c:pt>
                <c:pt idx="203">
                  <c:v>144.89124435315526</c:v>
                </c:pt>
                <c:pt idx="204">
                  <c:v>142.14126812729583</c:v>
                </c:pt>
                <c:pt idx="205">
                  <c:v>139.46170319751923</c:v>
                </c:pt>
                <c:pt idx="206">
                  <c:v>136.8493577584224</c:v>
                </c:pt>
                <c:pt idx="207">
                  <c:v>134.30123058034482</c:v>
                </c:pt>
                <c:pt idx="208">
                  <c:v>131.81449695531973</c:v>
                </c:pt>
                <c:pt idx="209">
                  <c:v>129.38649588152316</c:v>
                </c:pt>
                <c:pt idx="210">
                  <c:v>127.01471836083813</c:v>
                </c:pt>
                <c:pt idx="211">
                  <c:v>124.69679669853579</c:v>
                </c:pt>
                <c:pt idx="212">
                  <c:v>122.43049470663314</c:v>
                </c:pt>
                <c:pt idx="213">
                  <c:v>120.21369872346547</c:v>
                </c:pt>
                <c:pt idx="214">
                  <c:v>118.04440937163643</c:v>
                </c:pt>
                <c:pt idx="215">
                  <c:v>115.92073398495819</c:v>
                </c:pt>
                <c:pt idx="216">
                  <c:v>113.84087964242927</c:v>
                </c:pt>
                <c:pt idx="217">
                  <c:v>111.80314675385252</c:v>
                </c:pt>
                <c:pt idx="218">
                  <c:v>109.80592314748358</c:v>
                </c:pt>
                <c:pt idx="219">
                  <c:v>107.84767861522306</c:v>
                </c:pt>
                <c:pt idx="220">
                  <c:v>105.92695987540552</c:v>
                </c:pt>
                <c:pt idx="221">
                  <c:v>104.04238591727065</c:v>
                </c:pt>
                <c:pt idx="222">
                  <c:v>102.19264369478911</c:v>
                </c:pt>
                <c:pt idx="223">
                  <c:v>100.37648414071276</c:v>
                </c:pt>
                <c:pt idx="224">
                  <c:v>98.59271847457282</c:v>
                </c:pt>
                <c:pt idx="225">
                  <c:v>96.840214780903423</c:v>
                </c:pt>
                <c:pt idx="226">
                  <c:v>95.117894836255871</c:v>
                </c:pt>
                <c:pt idx="227">
                  <c:v>93.424731165623072</c:v>
                </c:pt>
                <c:pt idx="228">
                  <c:v>91.75974431074242</c:v>
                </c:pt>
                <c:pt idx="229">
                  <c:v>90.122000294411436</c:v>
                </c:pt>
                <c:pt idx="230">
                  <c:v>88.510608266455975</c:v>
                </c:pt>
                <c:pt idx="231">
                  <c:v>86.924718318354792</c:v>
                </c:pt>
                <c:pt idx="232">
                  <c:v>85.363519454761743</c:v>
                </c:pt>
                <c:pt idx="233">
                  <c:v>83.826237711294951</c:v>
                </c:pt>
                <c:pt idx="234">
                  <c:v>82.31213440899117</c:v>
                </c:pt>
                <c:pt idx="235">
                  <c:v>80.820504536767373</c:v>
                </c:pt>
                <c:pt idx="236">
                  <c:v>79.350675254099514</c:v>
                </c:pt>
                <c:pt idx="237">
                  <c:v>77.902004506929387</c:v>
                </c:pt>
                <c:pt idx="238">
                  <c:v>76.473879750555071</c:v>
                </c:pt>
                <c:pt idx="239">
                  <c:v>75.065716773953341</c:v>
                </c:pt>
                <c:pt idx="240">
                  <c:v>73.676958620634053</c:v>
                </c:pt>
                <c:pt idx="241">
                  <c:v>72.307074601740041</c:v>
                </c:pt>
                <c:pt idx="242">
                  <c:v>70.955559397691005</c:v>
                </c:pt>
                <c:pt idx="243">
                  <c:v>69.621932245228621</c:v>
                </c:pt>
                <c:pt idx="244">
                  <c:v>68.305736207260637</c:v>
                </c:pt>
                <c:pt idx="245">
                  <c:v>67.006537523427497</c:v>
                </c:pt>
                <c:pt idx="246">
                  <c:v>65.723925039832295</c:v>
                </c:pt>
                <c:pt idx="247">
                  <c:v>64.457509716886534</c:v>
                </c:pt>
                <c:pt idx="248">
                  <c:v>63.206924214737548</c:v>
                </c:pt>
                <c:pt idx="249">
                  <c:v>61.971822556260179</c:v>
                </c:pt>
                <c:pt idx="250">
                  <c:v>60.751879868122451</c:v>
                </c:pt>
                <c:pt idx="251">
                  <c:v>59.546792200974963</c:v>
                </c:pt>
                <c:pt idx="252">
                  <c:v>58.356276430372567</c:v>
                </c:pt>
                <c:pt idx="253">
                  <c:v>57.180070240617177</c:v>
                </c:pt>
                <c:pt idx="254">
                  <c:v>56.017932194317829</c:v>
                </c:pt>
                <c:pt idx="255">
                  <c:v>54.869641891100954</c:v>
                </c:pt>
                <c:pt idx="256">
                  <c:v>53.73500021957409</c:v>
                </c:pt>
                <c:pt idx="257">
                  <c:v>52.613829707352437</c:v>
                </c:pt>
                <c:pt idx="258">
                  <c:v>51.505974974701481</c:v>
                </c:pt>
                <c:pt idx="259">
                  <c:v>50.411303298130072</c:v>
                </c:pt>
                <c:pt idx="260">
                  <c:v>49.329705291086469</c:v>
                </c:pt>
                <c:pt idx="261">
                  <c:v>48.261095709759168</c:v>
                </c:pt>
                <c:pt idx="262">
                  <c:v>47.205414392857676</c:v>
                </c:pt>
                <c:pt idx="263">
                  <c:v>46.162627345134013</c:v>
                </c:pt>
                <c:pt idx="264">
                  <c:v>45.132727975281817</c:v>
                </c:pt>
                <c:pt idx="265">
                  <c:v>44.115738499692696</c:v>
                </c:pt>
                <c:pt idx="266">
                  <c:v>43.111711524316483</c:v>
                </c:pt>
                <c:pt idx="267">
                  <c:v>42.120731817513075</c:v>
                </c:pt>
                <c:pt idx="268">
                  <c:v>41.142918287225655</c:v>
                </c:pt>
                <c:pt idx="269">
                  <c:v>40.178426175953156</c:v>
                </c:pt>
                <c:pt idx="270">
                  <c:v>39.227449486729284</c:v>
                </c:pt>
                <c:pt idx="271">
                  <c:v>38.290223652462906</c:v>
                </c:pt>
                <c:pt idx="272">
                  <c:v>37.367028459351779</c:v>
                </c:pt>
                <c:pt idx="273">
                  <c:v>36.458191232381992</c:v>
                </c:pt>
                <c:pt idx="274">
                  <c:v>35.56409028683634</c:v>
                </c:pt>
                <c:pt idx="275">
                  <c:v>34.685158643841511</c:v>
                </c:pt>
                <c:pt idx="276">
                  <c:v>33.821887999782845</c:v>
                </c:pt>
                <c:pt idx="277">
                  <c:v>32.974832928300643</c:v>
                </c:pt>
                <c:pt idx="278">
                  <c:v>32.144615278846388</c:v>
                </c:pt>
                <c:pt idx="279">
                  <c:v>31.331928716615575</c:v>
                </c:pt>
                <c:pt idx="280">
                  <c:v>30.537543324208222</c:v>
                </c:pt>
                <c:pt idx="281">
                  <c:v>29.762310154698167</c:v>
                </c:pt>
                <c:pt idx="282">
                  <c:v>29.007165588081495</c:v>
                </c:pt>
                <c:pt idx="283">
                  <c:v>28.273135297694505</c:v>
                </c:pt>
                <c:pt idx="284">
                  <c:v>27.561337579934609</c:v>
                </c:pt>
                <c:pt idx="285">
                  <c:v>26.872985739996672</c:v>
                </c:pt>
                <c:pt idx="286">
                  <c:v>26.209389159987936</c:v>
                </c:pt>
                <c:pt idx="287">
                  <c:v>25.571952606957804</c:v>
                </c:pt>
                <c:pt idx="288">
                  <c:v>24.962173272501854</c:v>
                </c:pt>
                <c:pt idx="289">
                  <c:v>24.38163498082104</c:v>
                </c:pt>
                <c:pt idx="290">
                  <c:v>23.831998969699939</c:v>
                </c:pt>
                <c:pt idx="291">
                  <c:v>23.314990653204443</c:v>
                </c:pt>
                <c:pt idx="292">
                  <c:v>22.832381832853475</c:v>
                </c:pt>
                <c:pt idx="293">
                  <c:v>22.385967953250539</c:v>
                </c:pt>
                <c:pt idx="294">
                  <c:v>21.977540214149329</c:v>
                </c:pt>
                <c:pt idx="295">
                  <c:v>21.608852662617441</c:v>
                </c:pt>
                <c:pt idx="296">
                  <c:v>21.281584793385665</c:v>
                </c:pt>
                <c:pt idx="297">
                  <c:v>20.997300662332883</c:v>
                </c:pt>
                <c:pt idx="298">
                  <c:v>20.75740602597525</c:v>
                </c:pt>
                <c:pt idx="299">
                  <c:v>20.563105496381905</c:v>
                </c:pt>
                <c:pt idx="300">
                  <c:v>20.41536206852231</c:v>
                </c:pt>
                <c:pt idx="301">
                  <c:v>20.314861555342503</c:v>
                </c:pt>
                <c:pt idx="302">
                  <c:v>20.261984389546367</c:v>
                </c:pt>
                <c:pt idx="303">
                  <c:v>20.256786888731444</c:v>
                </c:pt>
                <c:pt idx="304">
                  <c:v>20.298993448969668</c:v>
                </c:pt>
                <c:pt idx="305">
                  <c:v>20.388000299744117</c:v>
                </c:pt>
                <c:pt idx="306">
                  <c:v>20.522890530802044</c:v>
                </c:pt>
                <c:pt idx="307">
                  <c:v>20.702459219054219</c:v>
                </c:pt>
                <c:pt idx="308">
                  <c:v>20.925246762689689</c:v>
                </c:pt>
                <c:pt idx="309">
                  <c:v>21.189578057578117</c:v>
                </c:pt>
                <c:pt idx="310">
                  <c:v>21.493604965584282</c:v>
                </c:pt>
                <c:pt idx="311">
                  <c:v>21.835349612052227</c:v>
                </c:pt>
                <c:pt idx="312">
                  <c:v>22.212746356114284</c:v>
                </c:pt>
                <c:pt idx="313">
                  <c:v>22.623680725468382</c:v>
                </c:pt>
                <c:pt idx="314">
                  <c:v>23.066024115757898</c:v>
                </c:pt>
                <c:pt idx="315">
                  <c:v>23.53766355368067</c:v>
                </c:pt>
                <c:pt idx="316">
                  <c:v>24.036526262120045</c:v>
                </c:pt>
                <c:pt idx="317">
                  <c:v>24.560599116465244</c:v>
                </c:pt>
                <c:pt idx="318">
                  <c:v>25.107943334728468</c:v>
                </c:pt>
                <c:pt idx="319">
                  <c:v>25.676704905195798</c:v>
                </c:pt>
                <c:pt idx="320">
                  <c:v>26.265121337937551</c:v>
                </c:pt>
                <c:pt idx="321">
                  <c:v>26.871525348072257</c:v>
                </c:pt>
                <c:pt idx="322">
                  <c:v>27.494346056924101</c:v>
                </c:pt>
                <c:pt idx="323">
                  <c:v>28.132108247825506</c:v>
                </c:pt>
                <c:pt idx="324">
                  <c:v>28.783430148950387</c:v>
                </c:pt>
                <c:pt idx="325">
                  <c:v>29.447020145637548</c:v>
                </c:pt>
                <c:pt idx="326">
                  <c:v>30.121672755644497</c:v>
                </c:pt>
                <c:pt idx="327">
                  <c:v>30.806264136694882</c:v>
                </c:pt>
                <c:pt idx="328">
                  <c:v>31.499747338730749</c:v>
                </c:pt>
                <c:pt idx="329">
                  <c:v>32.201147464320357</c:v>
                </c:pt>
                <c:pt idx="330">
                  <c:v>32.909556859698448</c:v>
                </c:pt>
                <c:pt idx="331">
                  <c:v>33.62413042539881</c:v>
                </c:pt>
                <c:pt idx="332">
                  <c:v>34.344081108569064</c:v>
                </c:pt>
                <c:pt idx="333">
                  <c:v>35.068675617918053</c:v>
                </c:pt>
                <c:pt idx="334">
                  <c:v>35.797230385918994</c:v>
                </c:pt>
                <c:pt idx="335">
                  <c:v>36.529107790520165</c:v>
                </c:pt>
                <c:pt idx="336">
                  <c:v>37.263712639438801</c:v>
                </c:pt>
                <c:pt idx="337">
                  <c:v>38.000488913475948</c:v>
                </c:pt>
                <c:pt idx="338">
                  <c:v>38.738916760641487</c:v>
                </c:pt>
                <c:pt idx="339">
                  <c:v>39.478509729764589</c:v>
                </c:pt>
                <c:pt idx="340">
                  <c:v>40.218812230319948</c:v>
                </c:pt>
                <c:pt idx="341">
                  <c:v>40.959397204130759</c:v>
                </c:pt>
                <c:pt idx="342">
                  <c:v>41.699863994184582</c:v>
                </c:pt>
                <c:pt idx="343">
                  <c:v>42.439836395837979</c:v>
                </c:pt>
                <c:pt idx="344">
                  <c:v>43.178960876051086</c:v>
                </c:pt>
                <c:pt idx="345">
                  <c:v>43.916904946878759</c:v>
                </c:pt>
                <c:pt idx="346">
                  <c:v>44.653355680169845</c:v>
                </c:pt>
                <c:pt idx="347">
                  <c:v>45.388018351232049</c:v>
                </c:pt>
                <c:pt idx="348">
                  <c:v>46.120615200062922</c:v>
                </c:pt>
                <c:pt idx="349">
                  <c:v>46.850884299596501</c:v>
                </c:pt>
                <c:pt idx="350">
                  <c:v>47.578578521248126</c:v>
                </c:pt>
                <c:pt idx="351">
                  <c:v>48.303464588842218</c:v>
                </c:pt>
                <c:pt idx="352">
                  <c:v>49.025322212769787</c:v>
                </c:pt>
                <c:pt idx="353">
                  <c:v>49.743943296938347</c:v>
                </c:pt>
                <c:pt idx="354">
                  <c:v>50.45913121174398</c:v>
                </c:pt>
                <c:pt idx="355">
                  <c:v>51.170700126912983</c:v>
                </c:pt>
                <c:pt idx="356">
                  <c:v>51.878474398629187</c:v>
                </c:pt>
                <c:pt idx="357">
                  <c:v>52.5822880058846</c:v>
                </c:pt>
                <c:pt idx="358">
                  <c:v>53.281984031467601</c:v>
                </c:pt>
                <c:pt idx="359">
                  <c:v>53.977414183437411</c:v>
                </c:pt>
                <c:pt idx="360">
                  <c:v>54.668438353328348</c:v>
                </c:pt>
                <c:pt idx="361">
                  <c:v>55.35492420768616</c:v>
                </c:pt>
                <c:pt idx="362">
                  <c:v>56.036746809863736</c:v>
                </c:pt>
                <c:pt idx="363">
                  <c:v>56.713788269297531</c:v>
                </c:pt>
                <c:pt idx="364">
                  <c:v>57.385937415752643</c:v>
                </c:pt>
                <c:pt idx="365">
                  <c:v>58.05308949626486</c:v>
                </c:pt>
                <c:pt idx="366">
                  <c:v>58.715145892725694</c:v>
                </c:pt>
                <c:pt idx="367">
                  <c:v>59.372013858252764</c:v>
                </c:pt>
                <c:pt idx="368">
                  <c:v>60.023606270665425</c:v>
                </c:pt>
                <c:pt idx="369">
                  <c:v>60.669841401545746</c:v>
                </c:pt>
                <c:pt idx="370">
                  <c:v>61.310642699509636</c:v>
                </c:pt>
                <c:pt idx="371">
                  <c:v>61.945938586443724</c:v>
                </c:pt>
                <c:pt idx="372">
                  <c:v>62.575662265581478</c:v>
                </c:pt>
                <c:pt idx="373">
                  <c:v>63.19975154039885</c:v>
                </c:pt>
                <c:pt idx="374">
                  <c:v>63.818148643406069</c:v>
                </c:pt>
                <c:pt idx="375">
                  <c:v>64.430800073999265</c:v>
                </c:pt>
                <c:pt idx="376">
                  <c:v>65.037656444614399</c:v>
                </c:pt>
                <c:pt idx="377">
                  <c:v>65.638672334497173</c:v>
                </c:pt>
                <c:pt idx="378">
                  <c:v>66.233806150467089</c:v>
                </c:pt>
                <c:pt idx="379">
                  <c:v>66.823019994111888</c:v>
                </c:pt>
                <c:pt idx="380">
                  <c:v>67.406279534901827</c:v>
                </c:pt>
                <c:pt idx="381">
                  <c:v>67.983553888760525</c:v>
                </c:pt>
                <c:pt idx="382">
                  <c:v>68.554815501672479</c:v>
                </c:pt>
                <c:pt idx="383">
                  <c:v>69.120040037947135</c:v>
                </c:pt>
                <c:pt idx="384">
                  <c:v>69.679206272793948</c:v>
                </c:pt>
                <c:pt idx="385">
                  <c:v>70.232295988895714</c:v>
                </c:pt>
                <c:pt idx="386">
                  <c:v>70.779293876696656</c:v>
                </c:pt>
                <c:pt idx="387">
                  <c:v>71.320187438147769</c:v>
                </c:pt>
                <c:pt idx="388">
                  <c:v>71.854966893676192</c:v>
                </c:pt>
                <c:pt idx="389">
                  <c:v>72.383625092167122</c:v>
                </c:pt>
                <c:pt idx="390">
                  <c:v>72.906157423766658</c:v>
                </c:pt>
                <c:pt idx="391">
                  <c:v>73.4225617353312</c:v>
                </c:pt>
                <c:pt idx="392">
                  <c:v>73.932838248366224</c:v>
                </c:pt>
                <c:pt idx="393">
                  <c:v>74.436989479310867</c:v>
                </c:pt>
                <c:pt idx="394">
                  <c:v>74.935020162039322</c:v>
                </c:pt>
                <c:pt idx="395">
                  <c:v>75.426937172460697</c:v>
                </c:pt>
                <c:pt idx="396">
                  <c:v>75.912749455111253</c:v>
                </c:pt>
                <c:pt idx="397">
                  <c:v>76.392467951642018</c:v>
                </c:pt>
                <c:pt idx="398">
                  <c:v>76.866105531113959</c:v>
                </c:pt>
                <c:pt idx="399">
                  <c:v>77.333676922021183</c:v>
                </c:pt>
                <c:pt idx="400">
                  <c:v>77.795198645969819</c:v>
                </c:pt>
                <c:pt idx="401">
                  <c:v>78.250688952946675</c:v>
                </c:pt>
                <c:pt idx="402">
                  <c:v>78.700167758118425</c:v>
                </c:pt>
                <c:pt idx="403">
                  <c:v>79.143656580106594</c:v>
                </c:pt>
                <c:pt idx="404">
                  <c:v>79.581178480689061</c:v>
                </c:pt>
                <c:pt idx="405">
                  <c:v>80.01275800588337</c:v>
                </c:pt>
                <c:pt idx="406">
                  <c:v>80.438421128370166</c:v>
                </c:pt>
                <c:pt idx="407">
                  <c:v>80.858195191219849</c:v>
                </c:pt>
                <c:pt idx="408">
                  <c:v>81.272108852887669</c:v>
                </c:pt>
                <c:pt idx="409">
                  <c:v>81.680192033446048</c:v>
                </c:pt>
                <c:pt idx="410">
                  <c:v>82.08247586202495</c:v>
                </c:pt>
                <c:pt idx="411">
                  <c:v>82.478992625433875</c:v>
                </c:pt>
                <c:pt idx="412">
                  <c:v>82.869775717940612</c:v>
                </c:pt>
                <c:pt idx="413">
                  <c:v>83.254859592184104</c:v>
                </c:pt>
                <c:pt idx="414">
                  <c:v>83.634279711200023</c:v>
                </c:pt>
                <c:pt idx="415">
                  <c:v>84.008072501539345</c:v>
                </c:pt>
                <c:pt idx="416">
                  <c:v>84.376275307461242</c:v>
                </c:pt>
                <c:pt idx="417">
                  <c:v>84.738926346182893</c:v>
                </c:pt>
                <c:pt idx="418">
                  <c:v>85.096064664169504</c:v>
                </c:pt>
                <c:pt idx="419">
                  <c:v>85.447730094449085</c:v>
                </c:pt>
                <c:pt idx="420">
                  <c:v>85.793963214936682</c:v>
                </c:pt>
                <c:pt idx="421">
                  <c:v>86.134805307753965</c:v>
                </c:pt>
                <c:pt idx="422">
                  <c:v>86.470298319530116</c:v>
                </c:pt>
                <c:pt idx="423">
                  <c:v>86.800484822670811</c:v>
                </c:pt>
                <c:pt idx="424">
                  <c:v>87.1254079775821</c:v>
                </c:pt>
                <c:pt idx="425">
                  <c:v>87.44511149583667</c:v>
                </c:pt>
                <c:pt idx="426">
                  <c:v>87.75963960426985</c:v>
                </c:pt>
                <c:pt idx="427">
                  <c:v>88.069037009993366</c:v>
                </c:pt>
                <c:pt idx="428">
                  <c:v>88.373348866314615</c:v>
                </c:pt>
                <c:pt idx="429">
                  <c:v>88.672620739549572</c:v>
                </c:pt>
                <c:pt idx="430">
                  <c:v>88.966898576717441</c:v>
                </c:pt>
                <c:pt idx="431">
                  <c:v>89.256228674105515</c:v>
                </c:pt>
                <c:pt idx="432">
                  <c:v>89.540657646692125</c:v>
                </c:pt>
                <c:pt idx="433">
                  <c:v>89.820232398416351</c:v>
                </c:pt>
                <c:pt idx="434">
                  <c:v>90.095000093282565</c:v>
                </c:pt>
                <c:pt idx="435">
                  <c:v>90.365008127288178</c:v>
                </c:pt>
                <c:pt idx="436">
                  <c:v>90.630304101162849</c:v>
                </c:pt>
                <c:pt idx="437">
                  <c:v>90.890935793907332</c:v>
                </c:pt>
                <c:pt idx="438">
                  <c:v>91.146951137120297</c:v>
                </c:pt>
                <c:pt idx="439">
                  <c:v>91.398398190101176</c:v>
                </c:pt>
                <c:pt idx="440">
                  <c:v>91.645325115717128</c:v>
                </c:pt>
                <c:pt idx="441">
                  <c:v>91.887780157022263</c:v>
                </c:pt>
                <c:pt idx="442">
                  <c:v>92.125811614617106</c:v>
                </c:pt>
                <c:pt idx="443">
                  <c:v>92.359467824736271</c:v>
                </c:pt>
                <c:pt idx="444">
                  <c:v>92.5887971380523</c:v>
                </c:pt>
                <c:pt idx="445">
                  <c:v>92.813847899183557</c:v>
                </c:pt>
                <c:pt idx="446">
                  <c:v>93.03466842689393</c:v>
                </c:pt>
                <c:pt idx="447">
                  <c:v>93.251306994972396</c:v>
                </c:pt>
                <c:pt idx="448">
                  <c:v>93.463811813779955</c:v>
                </c:pt>
                <c:pt idx="449">
                  <c:v>93.672231012452059</c:v>
                </c:pt>
                <c:pt idx="450">
                  <c:v>93.876612621743874</c:v>
                </c:pt>
                <c:pt idx="451">
                  <c:v>94.077004557506612</c:v>
                </c:pt>
                <c:pt idx="452">
                  <c:v>94.27345460478233</c:v>
                </c:pt>
                <c:pt idx="453">
                  <c:v>94.466010402505205</c:v>
                </c:pt>
                <c:pt idx="454">
                  <c:v>94.654719428796767</c:v>
                </c:pt>
                <c:pt idx="455">
                  <c:v>94.839628986843451</c:v>
                </c:pt>
                <c:pt idx="456">
                  <c:v>95.020786191343689</c:v>
                </c:pt>
                <c:pt idx="457">
                  <c:v>95.198237955512809</c:v>
                </c:pt>
                <c:pt idx="458">
                  <c:v>95.372030978633617</c:v>
                </c:pt>
                <c:pt idx="459">
                  <c:v>95.542211734140551</c:v>
                </c:pt>
                <c:pt idx="460">
                  <c:v>95.708826458225431</c:v>
                </c:pt>
                <c:pt idx="461">
                  <c:v>95.871921138953113</c:v>
                </c:pt>
                <c:pt idx="462">
                  <c:v>96.031541505875026</c:v>
                </c:pt>
                <c:pt idx="463">
                  <c:v>96.187733020128817</c:v>
                </c:pt>
                <c:pt idx="464">
                  <c:v>96.340540865012855</c:v>
                </c:pt>
                <c:pt idx="465">
                  <c:v>96.490009937023359</c:v>
                </c:pt>
                <c:pt idx="466">
                  <c:v>96.636184837343365</c:v>
                </c:pt>
                <c:pt idx="467">
                  <c:v>96.779109863771822</c:v>
                </c:pt>
                <c:pt idx="468">
                  <c:v>96.91882900308164</c:v>
                </c:pt>
                <c:pt idx="469">
                  <c:v>97.055385923795512</c:v>
                </c:pt>
                <c:pt idx="470">
                  <c:v>97.188823969368713</c:v>
                </c:pt>
                <c:pt idx="471">
                  <c:v>97.319186151767767</c:v>
                </c:pt>
                <c:pt idx="472">
                  <c:v>97.446515145434276</c:v>
                </c:pt>
                <c:pt idx="473">
                  <c:v>97.57085328162357</c:v>
                </c:pt>
                <c:pt idx="474">
                  <c:v>97.69224254310717</c:v>
                </c:pt>
                <c:pt idx="475">
                  <c:v>97.810724559229328</c:v>
                </c:pt>
                <c:pt idx="476">
                  <c:v>97.926340601307032</c:v>
                </c:pt>
                <c:pt idx="477">
                  <c:v>98.039131578363566</c:v>
                </c:pt>
                <c:pt idx="478">
                  <c:v>98.149138033185892</c:v>
                </c:pt>
                <c:pt idx="479">
                  <c:v>98.256400138695724</c:v>
                </c:pt>
                <c:pt idx="480">
                  <c:v>98.360957694625284</c:v>
                </c:pt>
                <c:pt idx="481">
                  <c:v>98.46285012448773</c:v>
                </c:pt>
                <c:pt idx="482">
                  <c:v>98.562116472833381</c:v>
                </c:pt>
                <c:pt idx="483">
                  <c:v>98.658795402782573</c:v>
                </c:pt>
                <c:pt idx="484">
                  <c:v>98.752925193826059</c:v>
                </c:pt>
                <c:pt idx="485">
                  <c:v>98.844543739884301</c:v>
                </c:pt>
                <c:pt idx="486">
                  <c:v>98.93368854761701</c:v>
                </c:pt>
                <c:pt idx="487">
                  <c:v>99.020396734974554</c:v>
                </c:pt>
                <c:pt idx="488">
                  <c:v>99.104705029982881</c:v>
                </c:pt>
                <c:pt idx="489">
                  <c:v>99.186649769753657</c:v>
                </c:pt>
                <c:pt idx="490">
                  <c:v>99.266266899712193</c:v>
                </c:pt>
                <c:pt idx="491">
                  <c:v>99.343591973034776</c:v>
                </c:pt>
                <c:pt idx="492">
                  <c:v>99.418660150288176</c:v>
                </c:pt>
                <c:pt idx="493">
                  <c:v>99.491506199263696</c:v>
                </c:pt>
                <c:pt idx="494">
                  <c:v>99.562164494998598</c:v>
                </c:pt>
                <c:pt idx="495">
                  <c:v>99.630669019977702</c:v>
                </c:pt>
                <c:pt idx="496">
                  <c:v>99.697053364508051</c:v>
                </c:pt>
                <c:pt idx="497">
                  <c:v>99.76135072726025</c:v>
                </c:pt>
                <c:pt idx="498">
                  <c:v>99.823593915969312</c:v>
                </c:pt>
                <c:pt idx="499">
                  <c:v>99.883815348289005</c:v>
                </c:pt>
                <c:pt idx="500">
                  <c:v>99.942047052793001</c:v>
                </c:pt>
                <c:pt idx="501">
                  <c:v>99.998320670116982</c:v>
                </c:pt>
                <c:pt idx="502">
                  <c:v>100.05266745423529</c:v>
                </c:pt>
                <c:pt idx="503">
                  <c:v>100.10511827386674</c:v>
                </c:pt>
                <c:pt idx="504">
                  <c:v>100.15570361400347</c:v>
                </c:pt>
                <c:pt idx="505">
                  <c:v>100.20445357755753</c:v>
                </c:pt>
                <c:pt idx="506">
                  <c:v>100.25139788711968</c:v>
                </c:pt>
                <c:pt idx="507">
                  <c:v>100.29656588682512</c:v>
                </c:pt>
                <c:pt idx="508">
                  <c:v>100.33998654432106</c:v>
                </c:pt>
                <c:pt idx="509">
                  <c:v>100.3816884528313</c:v>
                </c:pt>
                <c:pt idx="510">
                  <c:v>100.42169983331259</c:v>
                </c:pt>
                <c:pt idx="511">
                  <c:v>100.46004853669852</c:v>
                </c:pt>
                <c:pt idx="512">
                  <c:v>100.49676204622604</c:v>
                </c:pt>
                <c:pt idx="513">
                  <c:v>100.53186747984032</c:v>
                </c:pt>
                <c:pt idx="514">
                  <c:v>100.56539159267368</c:v>
                </c:pt>
                <c:pt idx="515">
                  <c:v>100.56542354835845</c:v>
                </c:pt>
                <c:pt idx="516">
                  <c:v>100.56545550251636</c:v>
                </c:pt>
                <c:pt idx="517">
                  <c:v>100.56548745514739</c:v>
                </c:pt>
                <c:pt idx="518">
                  <c:v>100.5655194062516</c:v>
                </c:pt>
                <c:pt idx="519">
                  <c:v>100.56555135582899</c:v>
                </c:pt>
                <c:pt idx="520">
                  <c:v>100.56558330387961</c:v>
                </c:pt>
                <c:pt idx="521">
                  <c:v>100.56561525040347</c:v>
                </c:pt>
                <c:pt idx="522">
                  <c:v>100.56564719540059</c:v>
                </c:pt>
                <c:pt idx="523">
                  <c:v>100.56567913887099</c:v>
                </c:pt>
                <c:pt idx="524">
                  <c:v>100.56571108081472</c:v>
                </c:pt>
                <c:pt idx="525">
                  <c:v>100.5657430212318</c:v>
                </c:pt>
                <c:pt idx="526">
                  <c:v>100.56577496012224</c:v>
                </c:pt>
                <c:pt idx="527">
                  <c:v>100.56580689748608</c:v>
                </c:pt>
                <c:pt idx="528">
                  <c:v>100.56583883332335</c:v>
                </c:pt>
                <c:pt idx="529">
                  <c:v>100.56587076763405</c:v>
                </c:pt>
                <c:pt idx="530">
                  <c:v>100.56590270041825</c:v>
                </c:pt>
                <c:pt idx="531">
                  <c:v>100.56593463167593</c:v>
                </c:pt>
                <c:pt idx="532">
                  <c:v>100.56596656140711</c:v>
                </c:pt>
                <c:pt idx="533">
                  <c:v>100.56599848961187</c:v>
                </c:pt>
                <c:pt idx="534">
                  <c:v>100.56603041629019</c:v>
                </c:pt>
                <c:pt idx="535">
                  <c:v>100.56606234144213</c:v>
                </c:pt>
                <c:pt idx="536">
                  <c:v>100.56609426506768</c:v>
                </c:pt>
                <c:pt idx="537">
                  <c:v>100.56612618716687</c:v>
                </c:pt>
                <c:pt idx="538">
                  <c:v>100.56615810773977</c:v>
                </c:pt>
                <c:pt idx="539">
                  <c:v>100.56619002678633</c:v>
                </c:pt>
                <c:pt idx="540">
                  <c:v>100.56622194430663</c:v>
                </c:pt>
                <c:pt idx="541">
                  <c:v>100.56625386030069</c:v>
                </c:pt>
                <c:pt idx="542">
                  <c:v>100.56628577476853</c:v>
                </c:pt>
                <c:pt idx="543">
                  <c:v>100.56631768771017</c:v>
                </c:pt>
                <c:pt idx="544">
                  <c:v>100.56634959912563</c:v>
                </c:pt>
                <c:pt idx="545">
                  <c:v>100.56638150901496</c:v>
                </c:pt>
                <c:pt idx="546">
                  <c:v>100.56641341737817</c:v>
                </c:pt>
                <c:pt idx="547">
                  <c:v>100.56644532421529</c:v>
                </c:pt>
                <c:pt idx="548">
                  <c:v>100.56647722952634</c:v>
                </c:pt>
                <c:pt idx="549">
                  <c:v>100.56650913331134</c:v>
                </c:pt>
                <c:pt idx="550">
                  <c:v>100.56654103557032</c:v>
                </c:pt>
                <c:pt idx="551">
                  <c:v>100.56657293630333</c:v>
                </c:pt>
                <c:pt idx="552">
                  <c:v>100.56660483551036</c:v>
                </c:pt>
                <c:pt idx="553">
                  <c:v>100.56663673319146</c:v>
                </c:pt>
                <c:pt idx="554">
                  <c:v>100.56666862934664</c:v>
                </c:pt>
                <c:pt idx="555">
                  <c:v>100.56670052397592</c:v>
                </c:pt>
                <c:pt idx="556">
                  <c:v>100.56673241707935</c:v>
                </c:pt>
                <c:pt idx="557">
                  <c:v>100.56676430865694</c:v>
                </c:pt>
                <c:pt idx="558">
                  <c:v>100.56679619870872</c:v>
                </c:pt>
                <c:pt idx="559">
                  <c:v>100.5668280872347</c:v>
                </c:pt>
                <c:pt idx="560">
                  <c:v>100.56685997423493</c:v>
                </c:pt>
                <c:pt idx="561">
                  <c:v>100.5668918597094</c:v>
                </c:pt>
                <c:pt idx="562">
                  <c:v>100.56692374365819</c:v>
                </c:pt>
                <c:pt idx="563">
                  <c:v>100.5669556260813</c:v>
                </c:pt>
                <c:pt idx="564">
                  <c:v>100.56698750697872</c:v>
                </c:pt>
                <c:pt idx="565">
                  <c:v>100.56701938635052</c:v>
                </c:pt>
                <c:pt idx="566">
                  <c:v>100.56705126419671</c:v>
                </c:pt>
                <c:pt idx="567">
                  <c:v>100.56708314051731</c:v>
                </c:pt>
                <c:pt idx="568">
                  <c:v>100.56711501531235</c:v>
                </c:pt>
                <c:pt idx="569">
                  <c:v>100.56714688858187</c:v>
                </c:pt>
                <c:pt idx="570">
                  <c:v>100.56717876032589</c:v>
                </c:pt>
                <c:pt idx="571">
                  <c:v>100.56721063054442</c:v>
                </c:pt>
                <c:pt idx="572">
                  <c:v>100.56724249923751</c:v>
                </c:pt>
                <c:pt idx="573">
                  <c:v>100.56727436640516</c:v>
                </c:pt>
                <c:pt idx="574">
                  <c:v>100.5673062320474</c:v>
                </c:pt>
                <c:pt idx="575">
                  <c:v>100.56733809616426</c:v>
                </c:pt>
                <c:pt idx="576">
                  <c:v>100.56736995875579</c:v>
                </c:pt>
                <c:pt idx="577">
                  <c:v>100.56740181982197</c:v>
                </c:pt>
                <c:pt idx="578">
                  <c:v>100.56743367936285</c:v>
                </c:pt>
                <c:pt idx="579">
                  <c:v>100.56746553737844</c:v>
                </c:pt>
                <c:pt idx="580">
                  <c:v>100.56749739386881</c:v>
                </c:pt>
                <c:pt idx="581">
                  <c:v>100.56752924883394</c:v>
                </c:pt>
                <c:pt idx="582">
                  <c:v>100.56756110227387</c:v>
                </c:pt>
                <c:pt idx="583">
                  <c:v>100.56759295418861</c:v>
                </c:pt>
                <c:pt idx="584">
                  <c:v>100.56762480457823</c:v>
                </c:pt>
                <c:pt idx="585">
                  <c:v>100.56765665344271</c:v>
                </c:pt>
                <c:pt idx="586">
                  <c:v>100.5676885007821</c:v>
                </c:pt>
                <c:pt idx="587">
                  <c:v>100.5677203465964</c:v>
                </c:pt>
                <c:pt idx="588">
                  <c:v>100.56775219088567</c:v>
                </c:pt>
                <c:pt idx="589">
                  <c:v>100.56778403364991</c:v>
                </c:pt>
                <c:pt idx="590">
                  <c:v>100.56781587488916</c:v>
                </c:pt>
                <c:pt idx="591">
                  <c:v>100.56784771460346</c:v>
                </c:pt>
                <c:pt idx="592">
                  <c:v>100.56787955279279</c:v>
                </c:pt>
                <c:pt idx="593">
                  <c:v>100.56791138945719</c:v>
                </c:pt>
                <c:pt idx="594">
                  <c:v>100.5679432245967</c:v>
                </c:pt>
                <c:pt idx="595">
                  <c:v>100.56797505821136</c:v>
                </c:pt>
                <c:pt idx="596">
                  <c:v>100.56800689030116</c:v>
                </c:pt>
                <c:pt idx="597">
                  <c:v>100.56803872086617</c:v>
                </c:pt>
                <c:pt idx="598">
                  <c:v>100.56807054990638</c:v>
                </c:pt>
                <c:pt idx="599">
                  <c:v>100.56810237742182</c:v>
                </c:pt>
                <c:pt idx="600">
                  <c:v>100.56813420341253</c:v>
                </c:pt>
                <c:pt idx="601">
                  <c:v>100.56816602787852</c:v>
                </c:pt>
                <c:pt idx="602">
                  <c:v>100.56819785081981</c:v>
                </c:pt>
                <c:pt idx="603">
                  <c:v>100.56822967223644</c:v>
                </c:pt>
                <c:pt idx="604">
                  <c:v>100.56826149212844</c:v>
                </c:pt>
                <c:pt idx="605">
                  <c:v>100.56829331049582</c:v>
                </c:pt>
                <c:pt idx="606">
                  <c:v>100.56832512733861</c:v>
                </c:pt>
                <c:pt idx="607">
                  <c:v>100.56835694265685</c:v>
                </c:pt>
                <c:pt idx="608">
                  <c:v>100.56838875645055</c:v>
                </c:pt>
                <c:pt idx="609">
                  <c:v>100.56842056871974</c:v>
                </c:pt>
                <c:pt idx="610">
                  <c:v>100.56845237946445</c:v>
                </c:pt>
                <c:pt idx="611">
                  <c:v>100.56848418868468</c:v>
                </c:pt>
                <c:pt idx="612">
                  <c:v>100.5685159963805</c:v>
                </c:pt>
                <c:pt idx="613">
                  <c:v>100.5685478025519</c:v>
                </c:pt>
                <c:pt idx="614">
                  <c:v>100.56857960719891</c:v>
                </c:pt>
                <c:pt idx="615">
                  <c:v>100.56861141032157</c:v>
                </c:pt>
                <c:pt idx="616">
                  <c:v>100.56864321191988</c:v>
                </c:pt>
                <c:pt idx="617">
                  <c:v>100.5686750119939</c:v>
                </c:pt>
                <c:pt idx="618">
                  <c:v>100.56870681054363</c:v>
                </c:pt>
                <c:pt idx="619">
                  <c:v>100.56873860756913</c:v>
                </c:pt>
                <c:pt idx="620">
                  <c:v>100.56877040307039</c:v>
                </c:pt>
                <c:pt idx="621">
                  <c:v>100.56880219704743</c:v>
                </c:pt>
                <c:pt idx="622">
                  <c:v>100.56883398950031</c:v>
                </c:pt>
                <c:pt idx="623">
                  <c:v>100.56886578042902</c:v>
                </c:pt>
                <c:pt idx="624">
                  <c:v>100.56889756983361</c:v>
                </c:pt>
                <c:pt idx="625">
                  <c:v>100.5689293577141</c:v>
                </c:pt>
                <c:pt idx="626">
                  <c:v>100.56896114407053</c:v>
                </c:pt>
                <c:pt idx="627">
                  <c:v>100.56899292890287</c:v>
                </c:pt>
                <c:pt idx="628">
                  <c:v>100.56902471221122</c:v>
                </c:pt>
                <c:pt idx="629">
                  <c:v>100.56905649399556</c:v>
                </c:pt>
                <c:pt idx="630">
                  <c:v>100.56908827425592</c:v>
                </c:pt>
                <c:pt idx="631">
                  <c:v>100.56912005299235</c:v>
                </c:pt>
                <c:pt idx="632">
                  <c:v>100.56915183020483</c:v>
                </c:pt>
                <c:pt idx="633">
                  <c:v>100.56918360589341</c:v>
                </c:pt>
                <c:pt idx="634">
                  <c:v>100.56921538005814</c:v>
                </c:pt>
                <c:pt idx="635">
                  <c:v>100.56924715269901</c:v>
                </c:pt>
                <c:pt idx="636">
                  <c:v>100.56927892381606</c:v>
                </c:pt>
                <c:pt idx="637">
                  <c:v>100.56931069340931</c:v>
                </c:pt>
                <c:pt idx="638">
                  <c:v>100.56934246147878</c:v>
                </c:pt>
                <c:pt idx="639">
                  <c:v>100.56937422802453</c:v>
                </c:pt>
                <c:pt idx="640">
                  <c:v>100.56940599304656</c:v>
                </c:pt>
                <c:pt idx="641">
                  <c:v>100.56943775654487</c:v>
                </c:pt>
                <c:pt idx="642">
                  <c:v>100.56946951851953</c:v>
                </c:pt>
                <c:pt idx="643">
                  <c:v>100.56950127897055</c:v>
                </c:pt>
                <c:pt idx="644">
                  <c:v>100.56953303789795</c:v>
                </c:pt>
                <c:pt idx="645">
                  <c:v>100.56956479530174</c:v>
                </c:pt>
                <c:pt idx="646">
                  <c:v>100.569596551182</c:v>
                </c:pt>
                <c:pt idx="647">
                  <c:v>100.56962830553869</c:v>
                </c:pt>
                <c:pt idx="648">
                  <c:v>100.56966005837188</c:v>
                </c:pt>
                <c:pt idx="649">
                  <c:v>100.56969180968157</c:v>
                </c:pt>
                <c:pt idx="650">
                  <c:v>100.56972355946779</c:v>
                </c:pt>
                <c:pt idx="651">
                  <c:v>100.56975530773059</c:v>
                </c:pt>
                <c:pt idx="652">
                  <c:v>100.56978705446996</c:v>
                </c:pt>
                <c:pt idx="653">
                  <c:v>100.56981879968596</c:v>
                </c:pt>
                <c:pt idx="654">
                  <c:v>100.56985054337859</c:v>
                </c:pt>
                <c:pt idx="655">
                  <c:v>100.56988228554788</c:v>
                </c:pt>
                <c:pt idx="656">
                  <c:v>100.56991402619384</c:v>
                </c:pt>
                <c:pt idx="657">
                  <c:v>100.56994576531655</c:v>
                </c:pt>
                <c:pt idx="658">
                  <c:v>100.56997750291599</c:v>
                </c:pt>
                <c:pt idx="659">
                  <c:v>100.57000923899218</c:v>
                </c:pt>
                <c:pt idx="660">
                  <c:v>100.57004097354518</c:v>
                </c:pt>
                <c:pt idx="661">
                  <c:v>100.57007270657498</c:v>
                </c:pt>
                <c:pt idx="662">
                  <c:v>100.57010443808163</c:v>
                </c:pt>
                <c:pt idx="663">
                  <c:v>100.57013616806513</c:v>
                </c:pt>
                <c:pt idx="664">
                  <c:v>100.57016789652555</c:v>
                </c:pt>
                <c:pt idx="665">
                  <c:v>100.57019962346287</c:v>
                </c:pt>
                <c:pt idx="666">
                  <c:v>100.57023134887714</c:v>
                </c:pt>
                <c:pt idx="667">
                  <c:v>100.57026307276838</c:v>
                </c:pt>
                <c:pt idx="668">
                  <c:v>100.57029479513662</c:v>
                </c:pt>
                <c:pt idx="669">
                  <c:v>100.57032651598186</c:v>
                </c:pt>
                <c:pt idx="670">
                  <c:v>100.57035823530416</c:v>
                </c:pt>
                <c:pt idx="671">
                  <c:v>100.57038995310353</c:v>
                </c:pt>
                <c:pt idx="672">
                  <c:v>100.57042166938</c:v>
                </c:pt>
                <c:pt idx="673">
                  <c:v>100.57045338413357</c:v>
                </c:pt>
                <c:pt idx="674">
                  <c:v>100.57048509736431</c:v>
                </c:pt>
                <c:pt idx="675">
                  <c:v>100.57051680907223</c:v>
                </c:pt>
                <c:pt idx="676">
                  <c:v>100.57054851925734</c:v>
                </c:pt>
                <c:pt idx="677">
                  <c:v>100.57058022791968</c:v>
                </c:pt>
                <c:pt idx="678">
                  <c:v>100.57061193505925</c:v>
                </c:pt>
                <c:pt idx="679">
                  <c:v>100.5706436406761</c:v>
                </c:pt>
                <c:pt idx="680">
                  <c:v>100.57067534477025</c:v>
                </c:pt>
                <c:pt idx="681">
                  <c:v>100.57070704734173</c:v>
                </c:pt>
                <c:pt idx="682">
                  <c:v>100.57073874839057</c:v>
                </c:pt>
                <c:pt idx="683">
                  <c:v>100.57077044791679</c:v>
                </c:pt>
                <c:pt idx="684">
                  <c:v>100.5708021459204</c:v>
                </c:pt>
                <c:pt idx="685">
                  <c:v>100.57083384240144</c:v>
                </c:pt>
                <c:pt idx="686">
                  <c:v>100.57086553735995</c:v>
                </c:pt>
                <c:pt idx="687">
                  <c:v>100.57089723079592</c:v>
                </c:pt>
                <c:pt idx="688">
                  <c:v>100.5709289227094</c:v>
                </c:pt>
                <c:pt idx="689">
                  <c:v>100.57096061310043</c:v>
                </c:pt>
                <c:pt idx="690">
                  <c:v>100.57099230196899</c:v>
                </c:pt>
                <c:pt idx="691">
                  <c:v>100.57102398931514</c:v>
                </c:pt>
                <c:pt idx="692">
                  <c:v>100.57105567513889</c:v>
                </c:pt>
                <c:pt idx="693">
                  <c:v>100.57108735944027</c:v>
                </c:pt>
                <c:pt idx="694">
                  <c:v>100.57111904221932</c:v>
                </c:pt>
                <c:pt idx="695">
                  <c:v>100.57115072347607</c:v>
                </c:pt>
                <c:pt idx="696">
                  <c:v>100.5711824032105</c:v>
                </c:pt>
                <c:pt idx="697">
                  <c:v>100.57121408142267</c:v>
                </c:pt>
                <c:pt idx="698">
                  <c:v>100.5712457581126</c:v>
                </c:pt>
                <c:pt idx="699">
                  <c:v>100.57127743328033</c:v>
                </c:pt>
                <c:pt idx="700">
                  <c:v>100.57130910692585</c:v>
                </c:pt>
                <c:pt idx="701">
                  <c:v>100.57134077904922</c:v>
                </c:pt>
                <c:pt idx="702">
                  <c:v>100.57137244965044</c:v>
                </c:pt>
                <c:pt idx="703">
                  <c:v>100.57140411872955</c:v>
                </c:pt>
                <c:pt idx="704">
                  <c:v>100.57143578628657</c:v>
                </c:pt>
                <c:pt idx="705">
                  <c:v>100.57146745232154</c:v>
                </c:pt>
                <c:pt idx="706">
                  <c:v>100.57149911683447</c:v>
                </c:pt>
                <c:pt idx="707">
                  <c:v>100.57153077982539</c:v>
                </c:pt>
                <c:pt idx="708">
                  <c:v>100.57156244129433</c:v>
                </c:pt>
                <c:pt idx="709">
                  <c:v>100.57159410124129</c:v>
                </c:pt>
                <c:pt idx="710">
                  <c:v>100.57162575966633</c:v>
                </c:pt>
                <c:pt idx="711">
                  <c:v>100.57165741656947</c:v>
                </c:pt>
                <c:pt idx="712">
                  <c:v>100.5716890719507</c:v>
                </c:pt>
                <c:pt idx="713">
                  <c:v>100.5717207258101</c:v>
                </c:pt>
                <c:pt idx="714">
                  <c:v>100.57175237814766</c:v>
                </c:pt>
                <c:pt idx="715">
                  <c:v>100.57178402896341</c:v>
                </c:pt>
                <c:pt idx="716">
                  <c:v>100.57181567825738</c:v>
                </c:pt>
                <c:pt idx="717">
                  <c:v>100.57184732602958</c:v>
                </c:pt>
                <c:pt idx="718">
                  <c:v>100.57187897228008</c:v>
                </c:pt>
                <c:pt idx="719">
                  <c:v>100.57191061700884</c:v>
                </c:pt>
                <c:pt idx="720">
                  <c:v>100.57194226021595</c:v>
                </c:pt>
                <c:pt idx="721">
                  <c:v>100.57197390190139</c:v>
                </c:pt>
                <c:pt idx="722">
                  <c:v>100.5720055420652</c:v>
                </c:pt>
                <c:pt idx="723">
                  <c:v>100.57203718070743</c:v>
                </c:pt>
                <c:pt idx="724">
                  <c:v>100.57206881782805</c:v>
                </c:pt>
                <c:pt idx="725">
                  <c:v>100.57210045342714</c:v>
                </c:pt>
                <c:pt idx="726">
                  <c:v>100.57213208750468</c:v>
                </c:pt>
                <c:pt idx="727">
                  <c:v>100.57216372006074</c:v>
                </c:pt>
                <c:pt idx="728">
                  <c:v>100.57219535109533</c:v>
                </c:pt>
                <c:pt idx="729">
                  <c:v>100.57222698060845</c:v>
                </c:pt>
                <c:pt idx="730">
                  <c:v>100.57225860860015</c:v>
                </c:pt>
                <c:pt idx="731">
                  <c:v>100.57229023507045</c:v>
                </c:pt>
                <c:pt idx="732">
                  <c:v>100.57232186001939</c:v>
                </c:pt>
                <c:pt idx="733">
                  <c:v>100.57235348344697</c:v>
                </c:pt>
                <c:pt idx="734">
                  <c:v>100.57238510535323</c:v>
                </c:pt>
                <c:pt idx="735">
                  <c:v>100.57241672573819</c:v>
                </c:pt>
                <c:pt idx="736">
                  <c:v>100.57244834460188</c:v>
                </c:pt>
                <c:pt idx="737">
                  <c:v>100.57247996194432</c:v>
                </c:pt>
                <c:pt idx="738">
                  <c:v>100.57251157776554</c:v>
                </c:pt>
                <c:pt idx="739">
                  <c:v>100.57254319206558</c:v>
                </c:pt>
                <c:pt idx="740">
                  <c:v>100.57257480484442</c:v>
                </c:pt>
                <c:pt idx="741">
                  <c:v>100.57260641610215</c:v>
                </c:pt>
                <c:pt idx="742">
                  <c:v>100.57263802583873</c:v>
                </c:pt>
                <c:pt idx="743">
                  <c:v>100.57266963405424</c:v>
                </c:pt>
                <c:pt idx="744">
                  <c:v>100.57270124074866</c:v>
                </c:pt>
                <c:pt idx="745">
                  <c:v>100.57273284592205</c:v>
                </c:pt>
                <c:pt idx="746">
                  <c:v>100.57276444957442</c:v>
                </c:pt>
                <c:pt idx="747">
                  <c:v>100.57279605170579</c:v>
                </c:pt>
                <c:pt idx="748">
                  <c:v>100.57282765231621</c:v>
                </c:pt>
                <c:pt idx="749">
                  <c:v>100.57285925140567</c:v>
                </c:pt>
                <c:pt idx="750">
                  <c:v>100.57289084897423</c:v>
                </c:pt>
                <c:pt idx="751">
                  <c:v>100.57292244502189</c:v>
                </c:pt>
                <c:pt idx="752">
                  <c:v>100.57295403954869</c:v>
                </c:pt>
                <c:pt idx="753">
                  <c:v>100.57298563255466</c:v>
                </c:pt>
                <c:pt idx="754">
                  <c:v>100.57301722403982</c:v>
                </c:pt>
                <c:pt idx="755">
                  <c:v>100.57304881400418</c:v>
                </c:pt>
                <c:pt idx="756">
                  <c:v>100.57308040244777</c:v>
                </c:pt>
                <c:pt idx="757">
                  <c:v>100.57311198937064</c:v>
                </c:pt>
                <c:pt idx="758">
                  <c:v>100.57314357477281</c:v>
                </c:pt>
                <c:pt idx="759">
                  <c:v>100.57317515865427</c:v>
                </c:pt>
                <c:pt idx="760">
                  <c:v>100.57320674101507</c:v>
                </c:pt>
                <c:pt idx="761">
                  <c:v>100.57323832185524</c:v>
                </c:pt>
                <c:pt idx="762">
                  <c:v>100.5732699011748</c:v>
                </c:pt>
                <c:pt idx="763">
                  <c:v>100.5733014789738</c:v>
                </c:pt>
                <c:pt idx="764">
                  <c:v>100.57333305525221</c:v>
                </c:pt>
                <c:pt idx="765">
                  <c:v>100.5733646300101</c:v>
                </c:pt>
                <c:pt idx="766">
                  <c:v>100.57339620324748</c:v>
                </c:pt>
                <c:pt idx="767">
                  <c:v>100.57342777496439</c:v>
                </c:pt>
                <c:pt idx="768">
                  <c:v>100.57345934516081</c:v>
                </c:pt>
                <c:pt idx="769">
                  <c:v>100.57349091383684</c:v>
                </c:pt>
                <c:pt idx="770">
                  <c:v>100.57352248099244</c:v>
                </c:pt>
                <c:pt idx="771">
                  <c:v>100.57355404662768</c:v>
                </c:pt>
                <c:pt idx="772">
                  <c:v>100.57358561074254</c:v>
                </c:pt>
                <c:pt idx="773">
                  <c:v>100.57361717333707</c:v>
                </c:pt>
                <c:pt idx="774">
                  <c:v>100.57364873441131</c:v>
                </c:pt>
                <c:pt idx="775">
                  <c:v>100.57368029396527</c:v>
                </c:pt>
                <c:pt idx="776">
                  <c:v>100.57371185199898</c:v>
                </c:pt>
                <c:pt idx="777">
                  <c:v>100.57374340851244</c:v>
                </c:pt>
                <c:pt idx="778">
                  <c:v>100.57377496350573</c:v>
                </c:pt>
                <c:pt idx="779">
                  <c:v>100.57380651697882</c:v>
                </c:pt>
                <c:pt idx="780">
                  <c:v>100.57383806893175</c:v>
                </c:pt>
                <c:pt idx="781">
                  <c:v>100.57386961936459</c:v>
                </c:pt>
                <c:pt idx="782">
                  <c:v>100.57390116827732</c:v>
                </c:pt>
                <c:pt idx="783">
                  <c:v>100.57393271566995</c:v>
                </c:pt>
                <c:pt idx="784">
                  <c:v>100.57396426154256</c:v>
                </c:pt>
                <c:pt idx="785">
                  <c:v>100.57399580589512</c:v>
                </c:pt>
                <c:pt idx="786">
                  <c:v>100.57402734872771</c:v>
                </c:pt>
                <c:pt idx="787">
                  <c:v>100.57405889004032</c:v>
                </c:pt>
                <c:pt idx="788">
                  <c:v>100.57409042983296</c:v>
                </c:pt>
                <c:pt idx="789">
                  <c:v>100.5741219681057</c:v>
                </c:pt>
                <c:pt idx="790">
                  <c:v>100.57415350485854</c:v>
                </c:pt>
                <c:pt idx="791">
                  <c:v>100.57418504009151</c:v>
                </c:pt>
                <c:pt idx="792">
                  <c:v>100.57421657380463</c:v>
                </c:pt>
                <c:pt idx="793">
                  <c:v>100.57424810599795</c:v>
                </c:pt>
                <c:pt idx="794">
                  <c:v>100.57427963667145</c:v>
                </c:pt>
                <c:pt idx="795">
                  <c:v>100.57431116582518</c:v>
                </c:pt>
                <c:pt idx="796">
                  <c:v>100.57434269345917</c:v>
                </c:pt>
                <c:pt idx="797">
                  <c:v>100.57437421957344</c:v>
                </c:pt>
                <c:pt idx="798">
                  <c:v>100.57440574416803</c:v>
                </c:pt>
                <c:pt idx="799">
                  <c:v>100.57443726724296</c:v>
                </c:pt>
                <c:pt idx="800">
                  <c:v>100.57446878879821</c:v>
                </c:pt>
                <c:pt idx="801">
                  <c:v>100.57450030883388</c:v>
                </c:pt>
                <c:pt idx="802">
                  <c:v>100.57453182734996</c:v>
                </c:pt>
                <c:pt idx="803">
                  <c:v>100.57456334434646</c:v>
                </c:pt>
                <c:pt idx="804">
                  <c:v>100.57459485982341</c:v>
                </c:pt>
                <c:pt idx="805">
                  <c:v>100.57462637378086</c:v>
                </c:pt>
                <c:pt idx="806">
                  <c:v>100.57465788621882</c:v>
                </c:pt>
                <c:pt idx="807">
                  <c:v>100.57468939713731</c:v>
                </c:pt>
                <c:pt idx="808">
                  <c:v>100.57472090653636</c:v>
                </c:pt>
                <c:pt idx="809">
                  <c:v>100.57475241441601</c:v>
                </c:pt>
                <c:pt idx="810">
                  <c:v>100.57478392077627</c:v>
                </c:pt>
                <c:pt idx="811">
                  <c:v>100.57481542561716</c:v>
                </c:pt>
                <c:pt idx="812">
                  <c:v>100.57484692893871</c:v>
                </c:pt>
                <c:pt idx="813">
                  <c:v>100.57487843074095</c:v>
                </c:pt>
                <c:pt idx="814">
                  <c:v>100.57490993102391</c:v>
                </c:pt>
                <c:pt idx="815">
                  <c:v>100.57494142978761</c:v>
                </c:pt>
                <c:pt idx="816">
                  <c:v>100.57497292703208</c:v>
                </c:pt>
                <c:pt idx="817">
                  <c:v>100.57500442275733</c:v>
                </c:pt>
                <c:pt idx="818">
                  <c:v>100.5750359169634</c:v>
                </c:pt>
                <c:pt idx="819">
                  <c:v>100.57506740965032</c:v>
                </c:pt>
                <c:pt idx="820">
                  <c:v>100.57509890081809</c:v>
                </c:pt>
                <c:pt idx="821">
                  <c:v>100.57513039046675</c:v>
                </c:pt>
                <c:pt idx="822">
                  <c:v>100.57516187859635</c:v>
                </c:pt>
                <c:pt idx="823">
                  <c:v>100.57519336520689</c:v>
                </c:pt>
                <c:pt idx="824">
                  <c:v>100.5752248502984</c:v>
                </c:pt>
                <c:pt idx="825">
                  <c:v>100.5752563338709</c:v>
                </c:pt>
                <c:pt idx="826">
                  <c:v>100.57528781592441</c:v>
                </c:pt>
                <c:pt idx="827">
                  <c:v>100.57531929645897</c:v>
                </c:pt>
                <c:pt idx="828">
                  <c:v>100.57535077547462</c:v>
                </c:pt>
                <c:pt idx="829">
                  <c:v>100.57538225297134</c:v>
                </c:pt>
                <c:pt idx="830">
                  <c:v>100.57541372894919</c:v>
                </c:pt>
                <c:pt idx="831">
                  <c:v>100.57544520340819</c:v>
                </c:pt>
                <c:pt idx="832">
                  <c:v>100.57547667634837</c:v>
                </c:pt>
                <c:pt idx="833">
                  <c:v>100.57550814776974</c:v>
                </c:pt>
                <c:pt idx="834">
                  <c:v>100.57553961767233</c:v>
                </c:pt>
                <c:pt idx="835">
                  <c:v>100.57557108605617</c:v>
                </c:pt>
                <c:pt idx="836">
                  <c:v>100.5756025529213</c:v>
                </c:pt>
                <c:pt idx="837">
                  <c:v>100.57563401826771</c:v>
                </c:pt>
                <c:pt idx="838">
                  <c:v>100.57566548209545</c:v>
                </c:pt>
                <c:pt idx="839">
                  <c:v>100.57569694440454</c:v>
                </c:pt>
                <c:pt idx="840">
                  <c:v>100.57572840519501</c:v>
                </c:pt>
                <c:pt idx="841">
                  <c:v>100.57575986446687</c:v>
                </c:pt>
                <c:pt idx="842">
                  <c:v>100.57579132222018</c:v>
                </c:pt>
                <c:pt idx="843">
                  <c:v>100.57582277845492</c:v>
                </c:pt>
                <c:pt idx="844">
                  <c:v>100.57585423317117</c:v>
                </c:pt>
                <c:pt idx="845">
                  <c:v>100.57588568636889</c:v>
                </c:pt>
                <c:pt idx="846">
                  <c:v>100.57591713804817</c:v>
                </c:pt>
                <c:pt idx="847">
                  <c:v>100.57594858820897</c:v>
                </c:pt>
                <c:pt idx="848">
                  <c:v>100.57598003685138</c:v>
                </c:pt>
                <c:pt idx="849">
                  <c:v>100.57601148397538</c:v>
                </c:pt>
                <c:pt idx="850">
                  <c:v>100.57604292958101</c:v>
                </c:pt>
                <c:pt idx="851">
                  <c:v>100.57607437366831</c:v>
                </c:pt>
                <c:pt idx="852">
                  <c:v>100.57610581623727</c:v>
                </c:pt>
                <c:pt idx="853">
                  <c:v>100.57613725728794</c:v>
                </c:pt>
                <c:pt idx="854">
                  <c:v>100.57616869682036</c:v>
                </c:pt>
                <c:pt idx="855">
                  <c:v>100.57620013483452</c:v>
                </c:pt>
                <c:pt idx="856">
                  <c:v>100.57623157133048</c:v>
                </c:pt>
                <c:pt idx="857">
                  <c:v>100.57626300630824</c:v>
                </c:pt>
                <c:pt idx="858">
                  <c:v>100.57629443976782</c:v>
                </c:pt>
                <c:pt idx="859">
                  <c:v>100.57632587170929</c:v>
                </c:pt>
                <c:pt idx="860">
                  <c:v>100.57635730213262</c:v>
                </c:pt>
                <c:pt idx="861">
                  <c:v>100.57638873103787</c:v>
                </c:pt>
                <c:pt idx="862">
                  <c:v>100.57642015842505</c:v>
                </c:pt>
                <c:pt idx="863">
                  <c:v>100.57645158429419</c:v>
                </c:pt>
                <c:pt idx="864">
                  <c:v>100.57648300864531</c:v>
                </c:pt>
                <c:pt idx="865">
                  <c:v>100.57651443147847</c:v>
                </c:pt>
                <c:pt idx="866">
                  <c:v>100.57654585279364</c:v>
                </c:pt>
                <c:pt idx="867">
                  <c:v>100.57657727259088</c:v>
                </c:pt>
                <c:pt idx="868">
                  <c:v>100.57660869087023</c:v>
                </c:pt>
                <c:pt idx="869">
                  <c:v>100.57664010763166</c:v>
                </c:pt>
                <c:pt idx="870">
                  <c:v>100.57667152287526</c:v>
                </c:pt>
                <c:pt idx="871">
                  <c:v>100.57670293660102</c:v>
                </c:pt>
                <c:pt idx="872">
                  <c:v>100.57673434880896</c:v>
                </c:pt>
                <c:pt idx="873">
                  <c:v>100.57676575949911</c:v>
                </c:pt>
                <c:pt idx="874">
                  <c:v>100.5767971686715</c:v>
                </c:pt>
                <c:pt idx="875">
                  <c:v>100.57682857632616</c:v>
                </c:pt>
                <c:pt idx="876">
                  <c:v>100.57685998246312</c:v>
                </c:pt>
                <c:pt idx="877">
                  <c:v>100.5768913870824</c:v>
                </c:pt>
                <c:pt idx="878">
                  <c:v>100.57692279018401</c:v>
                </c:pt>
                <c:pt idx="879">
                  <c:v>100.576954191768</c:v>
                </c:pt>
                <c:pt idx="880">
                  <c:v>100.57698559183437</c:v>
                </c:pt>
                <c:pt idx="881">
                  <c:v>100.57701699038317</c:v>
                </c:pt>
                <c:pt idx="882">
                  <c:v>100.57704838741441</c:v>
                </c:pt>
                <c:pt idx="883">
                  <c:v>100.57707978292812</c:v>
                </c:pt>
                <c:pt idx="884">
                  <c:v>100.57711117692433</c:v>
                </c:pt>
                <c:pt idx="885">
                  <c:v>100.57714256940307</c:v>
                </c:pt>
                <c:pt idx="886">
                  <c:v>100.57717396036433</c:v>
                </c:pt>
                <c:pt idx="887">
                  <c:v>100.57720534980818</c:v>
                </c:pt>
                <c:pt idx="888">
                  <c:v>100.57723673773462</c:v>
                </c:pt>
                <c:pt idx="889">
                  <c:v>100.57726812414369</c:v>
                </c:pt>
                <c:pt idx="890">
                  <c:v>100.57729950903541</c:v>
                </c:pt>
                <c:pt idx="891">
                  <c:v>100.5773308924098</c:v>
                </c:pt>
                <c:pt idx="892">
                  <c:v>100.57736227426687</c:v>
                </c:pt>
                <c:pt idx="893">
                  <c:v>100.57739365460669</c:v>
                </c:pt>
                <c:pt idx="894">
                  <c:v>100.57742503342924</c:v>
                </c:pt>
                <c:pt idx="895">
                  <c:v>100.57745641073458</c:v>
                </c:pt>
                <c:pt idx="896">
                  <c:v>100.57748778652274</c:v>
                </c:pt>
                <c:pt idx="897">
                  <c:v>100.5775191607937</c:v>
                </c:pt>
                <c:pt idx="898">
                  <c:v>100.57755053354751</c:v>
                </c:pt>
                <c:pt idx="899">
                  <c:v>100.5775819047842</c:v>
                </c:pt>
                <c:pt idx="900">
                  <c:v>100.57761327450379</c:v>
                </c:pt>
                <c:pt idx="901">
                  <c:v>100.5776446427063</c:v>
                </c:pt>
                <c:pt idx="902">
                  <c:v>100.57767600939177</c:v>
                </c:pt>
                <c:pt idx="903">
                  <c:v>100.57770737456022</c:v>
                </c:pt>
                <c:pt idx="904">
                  <c:v>100.57773873821168</c:v>
                </c:pt>
                <c:pt idx="905">
                  <c:v>100.57777010034616</c:v>
                </c:pt>
                <c:pt idx="906">
                  <c:v>100.5778014609637</c:v>
                </c:pt>
                <c:pt idx="907">
                  <c:v>100.57783282006432</c:v>
                </c:pt>
                <c:pt idx="908">
                  <c:v>100.57786417764804</c:v>
                </c:pt>
                <c:pt idx="909">
                  <c:v>100.57789553371489</c:v>
                </c:pt>
                <c:pt idx="910">
                  <c:v>100.57792688826491</c:v>
                </c:pt>
                <c:pt idx="911">
                  <c:v>100.57795824129809</c:v>
                </c:pt>
                <c:pt idx="912">
                  <c:v>100.57798959281449</c:v>
                </c:pt>
                <c:pt idx="913">
                  <c:v>100.57802094281413</c:v>
                </c:pt>
                <c:pt idx="914">
                  <c:v>100.57805229129701</c:v>
                </c:pt>
                <c:pt idx="915">
                  <c:v>100.57808363826319</c:v>
                </c:pt>
                <c:pt idx="916">
                  <c:v>100.57811498371268</c:v>
                </c:pt>
                <c:pt idx="917">
                  <c:v>100.5781463276455</c:v>
                </c:pt>
                <c:pt idx="918">
                  <c:v>100.57817767006168</c:v>
                </c:pt>
                <c:pt idx="919">
                  <c:v>100.57820901096123</c:v>
                </c:pt>
                <c:pt idx="920">
                  <c:v>100.5782403503442</c:v>
                </c:pt>
                <c:pt idx="921">
                  <c:v>100.57827168821063</c:v>
                </c:pt>
                <c:pt idx="922">
                  <c:v>100.5783030245605</c:v>
                </c:pt>
                <c:pt idx="923">
                  <c:v>100.57833435939385</c:v>
                </c:pt>
                <c:pt idx="924">
                  <c:v>100.57836569271072</c:v>
                </c:pt>
                <c:pt idx="925">
                  <c:v>100.57839702451112</c:v>
                </c:pt>
                <c:pt idx="926">
                  <c:v>100.57842835479509</c:v>
                </c:pt>
                <c:pt idx="927">
                  <c:v>100.57845968356264</c:v>
                </c:pt>
                <c:pt idx="928">
                  <c:v>100.57849101081382</c:v>
                </c:pt>
                <c:pt idx="929">
                  <c:v>100.57852233654863</c:v>
                </c:pt>
                <c:pt idx="930">
                  <c:v>100.5785536607671</c:v>
                </c:pt>
                <c:pt idx="931">
                  <c:v>100.57858498346927</c:v>
                </c:pt>
                <c:pt idx="932">
                  <c:v>100.57861630465514</c:v>
                </c:pt>
                <c:pt idx="933">
                  <c:v>100.57864762432476</c:v>
                </c:pt>
                <c:pt idx="934">
                  <c:v>100.57867894247815</c:v>
                </c:pt>
                <c:pt idx="935">
                  <c:v>100.57871025911533</c:v>
                </c:pt>
                <c:pt idx="936">
                  <c:v>100.57874157423633</c:v>
                </c:pt>
                <c:pt idx="937">
                  <c:v>100.57877288784115</c:v>
                </c:pt>
                <c:pt idx="938">
                  <c:v>100.57880419992986</c:v>
                </c:pt>
                <c:pt idx="939">
                  <c:v>100.57883551050246</c:v>
                </c:pt>
                <c:pt idx="940">
                  <c:v>100.57886681955898</c:v>
                </c:pt>
                <c:pt idx="941">
                  <c:v>100.57889812709945</c:v>
                </c:pt>
                <c:pt idx="942">
                  <c:v>100.57892943312388</c:v>
                </c:pt>
                <c:pt idx="943">
                  <c:v>100.57896073763231</c:v>
                </c:pt>
                <c:pt idx="944">
                  <c:v>100.57899204062477</c:v>
                </c:pt>
                <c:pt idx="945">
                  <c:v>100.57902334210125</c:v>
                </c:pt>
                <c:pt idx="946">
                  <c:v>100.57905464206182</c:v>
                </c:pt>
                <c:pt idx="947">
                  <c:v>100.5790859405065</c:v>
                </c:pt>
                <c:pt idx="948">
                  <c:v>100.57911723743527</c:v>
                </c:pt>
                <c:pt idx="949">
                  <c:v>100.57914853284821</c:v>
                </c:pt>
                <c:pt idx="950">
                  <c:v>100.57917982674532</c:v>
                </c:pt>
                <c:pt idx="951">
                  <c:v>100.57921111912663</c:v>
                </c:pt>
                <c:pt idx="952">
                  <c:v>100.57924240999216</c:v>
                </c:pt>
                <c:pt idx="953">
                  <c:v>100.57927369934193</c:v>
                </c:pt>
                <c:pt idx="954">
                  <c:v>100.57930498717599</c:v>
                </c:pt>
                <c:pt idx="955">
                  <c:v>100.57933627349432</c:v>
                </c:pt>
                <c:pt idx="956">
                  <c:v>100.57936755829699</c:v>
                </c:pt>
                <c:pt idx="957">
                  <c:v>100.57939884158404</c:v>
                </c:pt>
                <c:pt idx="958">
                  <c:v>100.57943012335544</c:v>
                </c:pt>
                <c:pt idx="959">
                  <c:v>100.57946140361123</c:v>
                </c:pt>
                <c:pt idx="960">
                  <c:v>100.57949268235147</c:v>
                </c:pt>
                <c:pt idx="961">
                  <c:v>100.57952395957615</c:v>
                </c:pt>
                <c:pt idx="962">
                  <c:v>100.57955523528531</c:v>
                </c:pt>
                <c:pt idx="963">
                  <c:v>100.57958650947897</c:v>
                </c:pt>
                <c:pt idx="964">
                  <c:v>100.57961778215717</c:v>
                </c:pt>
                <c:pt idx="965">
                  <c:v>100.57964905331993</c:v>
                </c:pt>
                <c:pt idx="966">
                  <c:v>100.57968032296725</c:v>
                </c:pt>
                <c:pt idx="967">
                  <c:v>100.57971159109917</c:v>
                </c:pt>
                <c:pt idx="968">
                  <c:v>100.57974285771573</c:v>
                </c:pt>
                <c:pt idx="969">
                  <c:v>100.57977412281696</c:v>
                </c:pt>
                <c:pt idx="970">
                  <c:v>100.57980538640285</c:v>
                </c:pt>
                <c:pt idx="971">
                  <c:v>100.57983664847345</c:v>
                </c:pt>
                <c:pt idx="972">
                  <c:v>100.57986790902879</c:v>
                </c:pt>
                <c:pt idx="973">
                  <c:v>100.57989916806888</c:v>
                </c:pt>
                <c:pt idx="974">
                  <c:v>100.57993042559376</c:v>
                </c:pt>
                <c:pt idx="975">
                  <c:v>100.57996168160345</c:v>
                </c:pt>
                <c:pt idx="976">
                  <c:v>100.57999293609795</c:v>
                </c:pt>
                <c:pt idx="977">
                  <c:v>100.58002418907733</c:v>
                </c:pt>
                <c:pt idx="978">
                  <c:v>100.5800554405416</c:v>
                </c:pt>
                <c:pt idx="979">
                  <c:v>100.58008669049076</c:v>
                </c:pt>
                <c:pt idx="980">
                  <c:v>100.58011793892487</c:v>
                </c:pt>
                <c:pt idx="981">
                  <c:v>100.58014918584392</c:v>
                </c:pt>
                <c:pt idx="982">
                  <c:v>100.58018043124798</c:v>
                </c:pt>
                <c:pt idx="983">
                  <c:v>100.58021167513705</c:v>
                </c:pt>
                <c:pt idx="984">
                  <c:v>100.58024291751113</c:v>
                </c:pt>
                <c:pt idx="985">
                  <c:v>100.5802741583703</c:v>
                </c:pt>
                <c:pt idx="986">
                  <c:v>100.58030539771453</c:v>
                </c:pt>
                <c:pt idx="987">
                  <c:v>100.5803366355439</c:v>
                </c:pt>
                <c:pt idx="988">
                  <c:v>100.5803678718584</c:v>
                </c:pt>
                <c:pt idx="989">
                  <c:v>100.58039910665805</c:v>
                </c:pt>
                <c:pt idx="990">
                  <c:v>100.58043033994289</c:v>
                </c:pt>
                <c:pt idx="991">
                  <c:v>100.58046157171296</c:v>
                </c:pt>
                <c:pt idx="992">
                  <c:v>100.58049280196825</c:v>
                </c:pt>
                <c:pt idx="993">
                  <c:v>100.58052403070882</c:v>
                </c:pt>
                <c:pt idx="994">
                  <c:v>100.58055525793468</c:v>
                </c:pt>
                <c:pt idx="995">
                  <c:v>100.58058648364585</c:v>
                </c:pt>
                <c:pt idx="996">
                  <c:v>100.58061770784235</c:v>
                </c:pt>
                <c:pt idx="997">
                  <c:v>100.58064893052423</c:v>
                </c:pt>
                <c:pt idx="998">
                  <c:v>100.58068015169151</c:v>
                </c:pt>
                <c:pt idx="999">
                  <c:v>100.58071137134419</c:v>
                </c:pt>
                <c:pt idx="1000">
                  <c:v>100.58074258948233</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35.100000000000186</c:v>
                </c:pt>
                <c:pt idx="500">
                  <c:v>35.200000000000188</c:v>
                </c:pt>
                <c:pt idx="501">
                  <c:v>35.300000000000189</c:v>
                </c:pt>
                <c:pt idx="502">
                  <c:v>35.40000000000019</c:v>
                </c:pt>
                <c:pt idx="503">
                  <c:v>35.500000000000192</c:v>
                </c:pt>
                <c:pt idx="504">
                  <c:v>35.600000000000193</c:v>
                </c:pt>
                <c:pt idx="505">
                  <c:v>35.700000000000195</c:v>
                </c:pt>
                <c:pt idx="506">
                  <c:v>35.800000000000196</c:v>
                </c:pt>
                <c:pt idx="507">
                  <c:v>35.900000000000198</c:v>
                </c:pt>
                <c:pt idx="508">
                  <c:v>36.000000000000199</c:v>
                </c:pt>
                <c:pt idx="509">
                  <c:v>36.1000000000002</c:v>
                </c:pt>
                <c:pt idx="510">
                  <c:v>36.200000000000202</c:v>
                </c:pt>
                <c:pt idx="511">
                  <c:v>36.300000000000203</c:v>
                </c:pt>
                <c:pt idx="512">
                  <c:v>36.400000000000205</c:v>
                </c:pt>
                <c:pt idx="513">
                  <c:v>36.500000000000206</c:v>
                </c:pt>
                <c:pt idx="514">
                  <c:v>36.600000000000207</c:v>
                </c:pt>
                <c:pt idx="515">
                  <c:v>36.600100000000211</c:v>
                </c:pt>
                <c:pt idx="516">
                  <c:v>36.600200000000214</c:v>
                </c:pt>
                <c:pt idx="517">
                  <c:v>36.600300000000217</c:v>
                </c:pt>
                <c:pt idx="518">
                  <c:v>36.600400000000221</c:v>
                </c:pt>
                <c:pt idx="519">
                  <c:v>36.600500000000224</c:v>
                </c:pt>
                <c:pt idx="520">
                  <c:v>36.600600000000227</c:v>
                </c:pt>
                <c:pt idx="521">
                  <c:v>36.600700000000231</c:v>
                </c:pt>
                <c:pt idx="522">
                  <c:v>36.600800000000234</c:v>
                </c:pt>
                <c:pt idx="523">
                  <c:v>36.600900000000237</c:v>
                </c:pt>
                <c:pt idx="524">
                  <c:v>36.601000000000241</c:v>
                </c:pt>
                <c:pt idx="525">
                  <c:v>36.601100000000244</c:v>
                </c:pt>
                <c:pt idx="526">
                  <c:v>36.601200000000247</c:v>
                </c:pt>
                <c:pt idx="527">
                  <c:v>36.601300000000251</c:v>
                </c:pt>
                <c:pt idx="528">
                  <c:v>36.601400000000254</c:v>
                </c:pt>
                <c:pt idx="529">
                  <c:v>36.601500000000257</c:v>
                </c:pt>
                <c:pt idx="530">
                  <c:v>36.601600000000261</c:v>
                </c:pt>
                <c:pt idx="531">
                  <c:v>36.601700000000264</c:v>
                </c:pt>
                <c:pt idx="532">
                  <c:v>36.601800000000267</c:v>
                </c:pt>
                <c:pt idx="533">
                  <c:v>36.601900000000271</c:v>
                </c:pt>
                <c:pt idx="534">
                  <c:v>36.602000000000274</c:v>
                </c:pt>
                <c:pt idx="535">
                  <c:v>36.602100000000277</c:v>
                </c:pt>
                <c:pt idx="536">
                  <c:v>36.602200000000281</c:v>
                </c:pt>
                <c:pt idx="537">
                  <c:v>36.602300000000284</c:v>
                </c:pt>
                <c:pt idx="538">
                  <c:v>36.602400000000287</c:v>
                </c:pt>
                <c:pt idx="539">
                  <c:v>36.60250000000029</c:v>
                </c:pt>
                <c:pt idx="540">
                  <c:v>36.602600000000294</c:v>
                </c:pt>
                <c:pt idx="541">
                  <c:v>36.602700000000297</c:v>
                </c:pt>
                <c:pt idx="542">
                  <c:v>36.6028000000003</c:v>
                </c:pt>
                <c:pt idx="543">
                  <c:v>36.602900000000304</c:v>
                </c:pt>
                <c:pt idx="544">
                  <c:v>36.603000000000307</c:v>
                </c:pt>
                <c:pt idx="545">
                  <c:v>36.60310000000031</c:v>
                </c:pt>
                <c:pt idx="546">
                  <c:v>36.603200000000314</c:v>
                </c:pt>
                <c:pt idx="547">
                  <c:v>36.603300000000317</c:v>
                </c:pt>
                <c:pt idx="548">
                  <c:v>36.60340000000032</c:v>
                </c:pt>
                <c:pt idx="549">
                  <c:v>36.603500000000324</c:v>
                </c:pt>
                <c:pt idx="550">
                  <c:v>36.603600000000327</c:v>
                </c:pt>
                <c:pt idx="551">
                  <c:v>36.60370000000033</c:v>
                </c:pt>
                <c:pt idx="552">
                  <c:v>36.603800000000334</c:v>
                </c:pt>
                <c:pt idx="553">
                  <c:v>36.603900000000337</c:v>
                </c:pt>
                <c:pt idx="554">
                  <c:v>36.60400000000034</c:v>
                </c:pt>
                <c:pt idx="555">
                  <c:v>36.604100000000344</c:v>
                </c:pt>
                <c:pt idx="556">
                  <c:v>36.604200000000347</c:v>
                </c:pt>
                <c:pt idx="557">
                  <c:v>36.60430000000035</c:v>
                </c:pt>
                <c:pt idx="558">
                  <c:v>36.604400000000354</c:v>
                </c:pt>
                <c:pt idx="559">
                  <c:v>36.604500000000357</c:v>
                </c:pt>
                <c:pt idx="560">
                  <c:v>36.60460000000036</c:v>
                </c:pt>
                <c:pt idx="561">
                  <c:v>36.604700000000364</c:v>
                </c:pt>
                <c:pt idx="562">
                  <c:v>36.604800000000367</c:v>
                </c:pt>
                <c:pt idx="563">
                  <c:v>36.60490000000037</c:v>
                </c:pt>
                <c:pt idx="564">
                  <c:v>36.605000000000373</c:v>
                </c:pt>
                <c:pt idx="565">
                  <c:v>36.605100000000377</c:v>
                </c:pt>
                <c:pt idx="566">
                  <c:v>36.60520000000038</c:v>
                </c:pt>
                <c:pt idx="567">
                  <c:v>36.605300000000383</c:v>
                </c:pt>
                <c:pt idx="568">
                  <c:v>36.605400000000387</c:v>
                </c:pt>
                <c:pt idx="569">
                  <c:v>36.60550000000039</c:v>
                </c:pt>
                <c:pt idx="570">
                  <c:v>36.605600000000393</c:v>
                </c:pt>
                <c:pt idx="571">
                  <c:v>36.605700000000397</c:v>
                </c:pt>
                <c:pt idx="572">
                  <c:v>36.6058000000004</c:v>
                </c:pt>
                <c:pt idx="573">
                  <c:v>36.605900000000403</c:v>
                </c:pt>
                <c:pt idx="574">
                  <c:v>36.606000000000407</c:v>
                </c:pt>
                <c:pt idx="575">
                  <c:v>36.60610000000041</c:v>
                </c:pt>
                <c:pt idx="576">
                  <c:v>36.606200000000413</c:v>
                </c:pt>
                <c:pt idx="577">
                  <c:v>36.606300000000417</c:v>
                </c:pt>
                <c:pt idx="578">
                  <c:v>36.60640000000042</c:v>
                </c:pt>
                <c:pt idx="579">
                  <c:v>36.606500000000423</c:v>
                </c:pt>
                <c:pt idx="580">
                  <c:v>36.606600000000427</c:v>
                </c:pt>
                <c:pt idx="581">
                  <c:v>36.60670000000043</c:v>
                </c:pt>
                <c:pt idx="582">
                  <c:v>36.606800000000433</c:v>
                </c:pt>
                <c:pt idx="583">
                  <c:v>36.606900000000437</c:v>
                </c:pt>
                <c:pt idx="584">
                  <c:v>36.60700000000044</c:v>
                </c:pt>
                <c:pt idx="585">
                  <c:v>36.607100000000443</c:v>
                </c:pt>
                <c:pt idx="586">
                  <c:v>36.607200000000446</c:v>
                </c:pt>
                <c:pt idx="587">
                  <c:v>36.60730000000045</c:v>
                </c:pt>
                <c:pt idx="588">
                  <c:v>36.607400000000453</c:v>
                </c:pt>
                <c:pt idx="589">
                  <c:v>36.607500000000456</c:v>
                </c:pt>
                <c:pt idx="590">
                  <c:v>36.60760000000046</c:v>
                </c:pt>
                <c:pt idx="591">
                  <c:v>36.607700000000463</c:v>
                </c:pt>
                <c:pt idx="592">
                  <c:v>36.607800000000466</c:v>
                </c:pt>
                <c:pt idx="593">
                  <c:v>36.60790000000047</c:v>
                </c:pt>
                <c:pt idx="594">
                  <c:v>36.608000000000473</c:v>
                </c:pt>
                <c:pt idx="595">
                  <c:v>36.608100000000476</c:v>
                </c:pt>
                <c:pt idx="596">
                  <c:v>36.60820000000048</c:v>
                </c:pt>
                <c:pt idx="597">
                  <c:v>36.608300000000483</c:v>
                </c:pt>
                <c:pt idx="598">
                  <c:v>36.608400000000486</c:v>
                </c:pt>
                <c:pt idx="599">
                  <c:v>36.60850000000049</c:v>
                </c:pt>
                <c:pt idx="600">
                  <c:v>36.608600000000493</c:v>
                </c:pt>
                <c:pt idx="601">
                  <c:v>36.608700000000496</c:v>
                </c:pt>
                <c:pt idx="602">
                  <c:v>36.6088000000005</c:v>
                </c:pt>
                <c:pt idx="603">
                  <c:v>36.608900000000503</c:v>
                </c:pt>
                <c:pt idx="604">
                  <c:v>36.609000000000506</c:v>
                </c:pt>
                <c:pt idx="605">
                  <c:v>36.60910000000051</c:v>
                </c:pt>
                <c:pt idx="606">
                  <c:v>36.609200000000513</c:v>
                </c:pt>
                <c:pt idx="607">
                  <c:v>36.609300000000516</c:v>
                </c:pt>
                <c:pt idx="608">
                  <c:v>36.60940000000052</c:v>
                </c:pt>
                <c:pt idx="609">
                  <c:v>36.609500000000523</c:v>
                </c:pt>
                <c:pt idx="610">
                  <c:v>36.609600000000526</c:v>
                </c:pt>
                <c:pt idx="611">
                  <c:v>36.609700000000529</c:v>
                </c:pt>
                <c:pt idx="612">
                  <c:v>36.609800000000533</c:v>
                </c:pt>
                <c:pt idx="613">
                  <c:v>36.609900000000536</c:v>
                </c:pt>
                <c:pt idx="614">
                  <c:v>36.610000000000539</c:v>
                </c:pt>
                <c:pt idx="615">
                  <c:v>36.610100000000543</c:v>
                </c:pt>
                <c:pt idx="616">
                  <c:v>36.610200000000546</c:v>
                </c:pt>
                <c:pt idx="617">
                  <c:v>36.610300000000549</c:v>
                </c:pt>
                <c:pt idx="618">
                  <c:v>36.610400000000553</c:v>
                </c:pt>
                <c:pt idx="619">
                  <c:v>36.610500000000556</c:v>
                </c:pt>
                <c:pt idx="620">
                  <c:v>36.610600000000559</c:v>
                </c:pt>
                <c:pt idx="621">
                  <c:v>36.610700000000563</c:v>
                </c:pt>
                <c:pt idx="622">
                  <c:v>36.610800000000566</c:v>
                </c:pt>
                <c:pt idx="623">
                  <c:v>36.610900000000569</c:v>
                </c:pt>
                <c:pt idx="624">
                  <c:v>36.611000000000573</c:v>
                </c:pt>
                <c:pt idx="625">
                  <c:v>36.611100000000576</c:v>
                </c:pt>
                <c:pt idx="626">
                  <c:v>36.611200000000579</c:v>
                </c:pt>
                <c:pt idx="627">
                  <c:v>36.611300000000583</c:v>
                </c:pt>
                <c:pt idx="628">
                  <c:v>36.611400000000586</c:v>
                </c:pt>
                <c:pt idx="629">
                  <c:v>36.611500000000589</c:v>
                </c:pt>
                <c:pt idx="630">
                  <c:v>36.611600000000593</c:v>
                </c:pt>
                <c:pt idx="631">
                  <c:v>36.611700000000596</c:v>
                </c:pt>
                <c:pt idx="632">
                  <c:v>36.611800000000599</c:v>
                </c:pt>
                <c:pt idx="633">
                  <c:v>36.611900000000603</c:v>
                </c:pt>
                <c:pt idx="634">
                  <c:v>36.612000000000606</c:v>
                </c:pt>
                <c:pt idx="635">
                  <c:v>36.612100000000609</c:v>
                </c:pt>
                <c:pt idx="636">
                  <c:v>36.612200000000612</c:v>
                </c:pt>
                <c:pt idx="637">
                  <c:v>36.612300000000616</c:v>
                </c:pt>
                <c:pt idx="638">
                  <c:v>36.612400000000619</c:v>
                </c:pt>
                <c:pt idx="639">
                  <c:v>36.612500000000622</c:v>
                </c:pt>
                <c:pt idx="640">
                  <c:v>36.612600000000626</c:v>
                </c:pt>
                <c:pt idx="641">
                  <c:v>36.612700000000629</c:v>
                </c:pt>
                <c:pt idx="642">
                  <c:v>36.612800000000632</c:v>
                </c:pt>
                <c:pt idx="643">
                  <c:v>36.612900000000636</c:v>
                </c:pt>
                <c:pt idx="644">
                  <c:v>36.613000000000639</c:v>
                </c:pt>
                <c:pt idx="645">
                  <c:v>36.613100000000642</c:v>
                </c:pt>
                <c:pt idx="646">
                  <c:v>36.613200000000646</c:v>
                </c:pt>
                <c:pt idx="647">
                  <c:v>36.613300000000649</c:v>
                </c:pt>
                <c:pt idx="648">
                  <c:v>36.613400000000652</c:v>
                </c:pt>
                <c:pt idx="649">
                  <c:v>36.613500000000656</c:v>
                </c:pt>
                <c:pt idx="650">
                  <c:v>36.613600000000659</c:v>
                </c:pt>
                <c:pt idx="651">
                  <c:v>36.613700000000662</c:v>
                </c:pt>
                <c:pt idx="652">
                  <c:v>36.613800000000666</c:v>
                </c:pt>
                <c:pt idx="653">
                  <c:v>36.613900000000669</c:v>
                </c:pt>
                <c:pt idx="654">
                  <c:v>36.614000000000672</c:v>
                </c:pt>
                <c:pt idx="655">
                  <c:v>36.614100000000676</c:v>
                </c:pt>
                <c:pt idx="656">
                  <c:v>36.614200000000679</c:v>
                </c:pt>
                <c:pt idx="657">
                  <c:v>36.614300000000682</c:v>
                </c:pt>
                <c:pt idx="658">
                  <c:v>36.614400000000686</c:v>
                </c:pt>
                <c:pt idx="659">
                  <c:v>36.614500000000689</c:v>
                </c:pt>
                <c:pt idx="660">
                  <c:v>36.614600000000692</c:v>
                </c:pt>
                <c:pt idx="661">
                  <c:v>36.614700000000695</c:v>
                </c:pt>
                <c:pt idx="662">
                  <c:v>36.614800000000699</c:v>
                </c:pt>
                <c:pt idx="663">
                  <c:v>36.614900000000702</c:v>
                </c:pt>
                <c:pt idx="664">
                  <c:v>36.615000000000705</c:v>
                </c:pt>
                <c:pt idx="665">
                  <c:v>36.615100000000709</c:v>
                </c:pt>
                <c:pt idx="666">
                  <c:v>36.615200000000712</c:v>
                </c:pt>
                <c:pt idx="667">
                  <c:v>36.615300000000715</c:v>
                </c:pt>
                <c:pt idx="668">
                  <c:v>36.615400000000719</c:v>
                </c:pt>
                <c:pt idx="669">
                  <c:v>36.615500000000722</c:v>
                </c:pt>
                <c:pt idx="670">
                  <c:v>36.615600000000725</c:v>
                </c:pt>
                <c:pt idx="671">
                  <c:v>36.615700000000729</c:v>
                </c:pt>
                <c:pt idx="672">
                  <c:v>36.615800000000732</c:v>
                </c:pt>
                <c:pt idx="673">
                  <c:v>36.615900000000735</c:v>
                </c:pt>
                <c:pt idx="674">
                  <c:v>36.616000000000739</c:v>
                </c:pt>
                <c:pt idx="675">
                  <c:v>36.616100000000742</c:v>
                </c:pt>
                <c:pt idx="676">
                  <c:v>36.616200000000745</c:v>
                </c:pt>
                <c:pt idx="677">
                  <c:v>36.616300000000749</c:v>
                </c:pt>
                <c:pt idx="678">
                  <c:v>36.616400000000752</c:v>
                </c:pt>
                <c:pt idx="679">
                  <c:v>36.616500000000755</c:v>
                </c:pt>
                <c:pt idx="680">
                  <c:v>36.616600000000759</c:v>
                </c:pt>
                <c:pt idx="681">
                  <c:v>36.616700000000762</c:v>
                </c:pt>
                <c:pt idx="682">
                  <c:v>36.616800000000765</c:v>
                </c:pt>
                <c:pt idx="683">
                  <c:v>36.616900000000769</c:v>
                </c:pt>
                <c:pt idx="684">
                  <c:v>36.617000000000772</c:v>
                </c:pt>
                <c:pt idx="685">
                  <c:v>36.617100000000775</c:v>
                </c:pt>
                <c:pt idx="686">
                  <c:v>36.617200000000778</c:v>
                </c:pt>
                <c:pt idx="687">
                  <c:v>36.617300000000782</c:v>
                </c:pt>
                <c:pt idx="688">
                  <c:v>36.617400000000785</c:v>
                </c:pt>
                <c:pt idx="689">
                  <c:v>36.617500000000788</c:v>
                </c:pt>
                <c:pt idx="690">
                  <c:v>36.617600000000792</c:v>
                </c:pt>
                <c:pt idx="691">
                  <c:v>36.617700000000795</c:v>
                </c:pt>
                <c:pt idx="692">
                  <c:v>36.617800000000798</c:v>
                </c:pt>
                <c:pt idx="693">
                  <c:v>36.617900000000802</c:v>
                </c:pt>
                <c:pt idx="694">
                  <c:v>36.618000000000805</c:v>
                </c:pt>
                <c:pt idx="695">
                  <c:v>36.618100000000808</c:v>
                </c:pt>
                <c:pt idx="696">
                  <c:v>36.618200000000812</c:v>
                </c:pt>
                <c:pt idx="697">
                  <c:v>36.618300000000815</c:v>
                </c:pt>
                <c:pt idx="698">
                  <c:v>36.618400000000818</c:v>
                </c:pt>
                <c:pt idx="699">
                  <c:v>36.618500000000822</c:v>
                </c:pt>
                <c:pt idx="700">
                  <c:v>36.618600000000825</c:v>
                </c:pt>
                <c:pt idx="701">
                  <c:v>36.618700000000828</c:v>
                </c:pt>
                <c:pt idx="702">
                  <c:v>36.618800000000832</c:v>
                </c:pt>
                <c:pt idx="703">
                  <c:v>36.618900000000835</c:v>
                </c:pt>
                <c:pt idx="704">
                  <c:v>36.619000000000838</c:v>
                </c:pt>
                <c:pt idx="705">
                  <c:v>36.619100000000842</c:v>
                </c:pt>
                <c:pt idx="706">
                  <c:v>36.619200000000845</c:v>
                </c:pt>
                <c:pt idx="707">
                  <c:v>36.619300000000848</c:v>
                </c:pt>
                <c:pt idx="708">
                  <c:v>36.619400000000851</c:v>
                </c:pt>
                <c:pt idx="709">
                  <c:v>36.619500000000855</c:v>
                </c:pt>
                <c:pt idx="710">
                  <c:v>36.619600000000858</c:v>
                </c:pt>
                <c:pt idx="711">
                  <c:v>36.619700000000861</c:v>
                </c:pt>
                <c:pt idx="712">
                  <c:v>36.619800000000865</c:v>
                </c:pt>
                <c:pt idx="713">
                  <c:v>36.619900000000868</c:v>
                </c:pt>
                <c:pt idx="714">
                  <c:v>36.620000000000871</c:v>
                </c:pt>
                <c:pt idx="715">
                  <c:v>36.620100000000875</c:v>
                </c:pt>
                <c:pt idx="716">
                  <c:v>36.620200000000878</c:v>
                </c:pt>
                <c:pt idx="717">
                  <c:v>36.620300000000881</c:v>
                </c:pt>
                <c:pt idx="718">
                  <c:v>36.620400000000885</c:v>
                </c:pt>
                <c:pt idx="719">
                  <c:v>36.620500000000888</c:v>
                </c:pt>
                <c:pt idx="720">
                  <c:v>36.620600000000891</c:v>
                </c:pt>
                <c:pt idx="721">
                  <c:v>36.620700000000895</c:v>
                </c:pt>
                <c:pt idx="722">
                  <c:v>36.620800000000898</c:v>
                </c:pt>
                <c:pt idx="723">
                  <c:v>36.620900000000901</c:v>
                </c:pt>
                <c:pt idx="724">
                  <c:v>36.621000000000905</c:v>
                </c:pt>
                <c:pt idx="725">
                  <c:v>36.621100000000908</c:v>
                </c:pt>
                <c:pt idx="726">
                  <c:v>36.621200000000911</c:v>
                </c:pt>
                <c:pt idx="727">
                  <c:v>36.621300000000915</c:v>
                </c:pt>
                <c:pt idx="728">
                  <c:v>36.621400000000918</c:v>
                </c:pt>
                <c:pt idx="729">
                  <c:v>36.621500000000921</c:v>
                </c:pt>
                <c:pt idx="730">
                  <c:v>36.621600000000925</c:v>
                </c:pt>
                <c:pt idx="731">
                  <c:v>36.621700000000928</c:v>
                </c:pt>
                <c:pt idx="732">
                  <c:v>36.621800000000931</c:v>
                </c:pt>
                <c:pt idx="733">
                  <c:v>36.621900000000934</c:v>
                </c:pt>
                <c:pt idx="734">
                  <c:v>36.622000000000938</c:v>
                </c:pt>
                <c:pt idx="735">
                  <c:v>36.622100000000941</c:v>
                </c:pt>
                <c:pt idx="736">
                  <c:v>36.622200000000944</c:v>
                </c:pt>
                <c:pt idx="737">
                  <c:v>36.622300000000948</c:v>
                </c:pt>
                <c:pt idx="738">
                  <c:v>36.622400000000951</c:v>
                </c:pt>
                <c:pt idx="739">
                  <c:v>36.622500000000954</c:v>
                </c:pt>
                <c:pt idx="740">
                  <c:v>36.622600000000958</c:v>
                </c:pt>
                <c:pt idx="741">
                  <c:v>36.622700000000961</c:v>
                </c:pt>
                <c:pt idx="742">
                  <c:v>36.622800000000964</c:v>
                </c:pt>
                <c:pt idx="743">
                  <c:v>36.622900000000968</c:v>
                </c:pt>
                <c:pt idx="744">
                  <c:v>36.623000000000971</c:v>
                </c:pt>
                <c:pt idx="745">
                  <c:v>36.623100000000974</c:v>
                </c:pt>
                <c:pt idx="746">
                  <c:v>36.623200000000978</c:v>
                </c:pt>
                <c:pt idx="747">
                  <c:v>36.623300000000981</c:v>
                </c:pt>
                <c:pt idx="748">
                  <c:v>36.623400000000984</c:v>
                </c:pt>
                <c:pt idx="749">
                  <c:v>36.623500000000988</c:v>
                </c:pt>
                <c:pt idx="750">
                  <c:v>36.623600000000991</c:v>
                </c:pt>
                <c:pt idx="751">
                  <c:v>36.623700000000994</c:v>
                </c:pt>
                <c:pt idx="752">
                  <c:v>36.623800000000998</c:v>
                </c:pt>
                <c:pt idx="753">
                  <c:v>36.623900000001001</c:v>
                </c:pt>
                <c:pt idx="754">
                  <c:v>36.624000000001004</c:v>
                </c:pt>
                <c:pt idx="755">
                  <c:v>36.624100000001008</c:v>
                </c:pt>
                <c:pt idx="756">
                  <c:v>36.624200000001011</c:v>
                </c:pt>
                <c:pt idx="757">
                  <c:v>36.624300000001014</c:v>
                </c:pt>
                <c:pt idx="758">
                  <c:v>36.624400000001017</c:v>
                </c:pt>
                <c:pt idx="759">
                  <c:v>36.624500000001021</c:v>
                </c:pt>
                <c:pt idx="760">
                  <c:v>36.624600000001024</c:v>
                </c:pt>
                <c:pt idx="761">
                  <c:v>36.624700000001027</c:v>
                </c:pt>
                <c:pt idx="762">
                  <c:v>36.624800000001031</c:v>
                </c:pt>
                <c:pt idx="763">
                  <c:v>36.624900000001034</c:v>
                </c:pt>
                <c:pt idx="764">
                  <c:v>36.625000000001037</c:v>
                </c:pt>
                <c:pt idx="765">
                  <c:v>36.625100000001041</c:v>
                </c:pt>
                <c:pt idx="766">
                  <c:v>36.625200000001044</c:v>
                </c:pt>
                <c:pt idx="767">
                  <c:v>36.625300000001047</c:v>
                </c:pt>
                <c:pt idx="768">
                  <c:v>36.625400000001051</c:v>
                </c:pt>
                <c:pt idx="769">
                  <c:v>36.625500000001054</c:v>
                </c:pt>
                <c:pt idx="770">
                  <c:v>36.625600000001057</c:v>
                </c:pt>
                <c:pt idx="771">
                  <c:v>36.625700000001061</c:v>
                </c:pt>
                <c:pt idx="772">
                  <c:v>36.625800000001064</c:v>
                </c:pt>
                <c:pt idx="773">
                  <c:v>36.625900000001067</c:v>
                </c:pt>
                <c:pt idx="774">
                  <c:v>36.626000000001071</c:v>
                </c:pt>
                <c:pt idx="775">
                  <c:v>36.626100000001074</c:v>
                </c:pt>
                <c:pt idx="776">
                  <c:v>36.626200000001077</c:v>
                </c:pt>
                <c:pt idx="777">
                  <c:v>36.626300000001081</c:v>
                </c:pt>
                <c:pt idx="778">
                  <c:v>36.626400000001084</c:v>
                </c:pt>
                <c:pt idx="779">
                  <c:v>36.626500000001087</c:v>
                </c:pt>
                <c:pt idx="780">
                  <c:v>36.626600000001091</c:v>
                </c:pt>
                <c:pt idx="781">
                  <c:v>36.626700000001094</c:v>
                </c:pt>
                <c:pt idx="782">
                  <c:v>36.626800000001097</c:v>
                </c:pt>
                <c:pt idx="783">
                  <c:v>36.6269000000011</c:v>
                </c:pt>
                <c:pt idx="784">
                  <c:v>36.627000000001104</c:v>
                </c:pt>
                <c:pt idx="785">
                  <c:v>36.627100000001107</c:v>
                </c:pt>
                <c:pt idx="786">
                  <c:v>36.62720000000111</c:v>
                </c:pt>
                <c:pt idx="787">
                  <c:v>36.627300000001114</c:v>
                </c:pt>
                <c:pt idx="788">
                  <c:v>36.627400000001117</c:v>
                </c:pt>
                <c:pt idx="789">
                  <c:v>36.62750000000112</c:v>
                </c:pt>
                <c:pt idx="790">
                  <c:v>36.627600000001124</c:v>
                </c:pt>
                <c:pt idx="791">
                  <c:v>36.627700000001127</c:v>
                </c:pt>
                <c:pt idx="792">
                  <c:v>36.62780000000113</c:v>
                </c:pt>
                <c:pt idx="793">
                  <c:v>36.627900000001134</c:v>
                </c:pt>
                <c:pt idx="794">
                  <c:v>36.628000000001137</c:v>
                </c:pt>
                <c:pt idx="795">
                  <c:v>36.62810000000114</c:v>
                </c:pt>
                <c:pt idx="796">
                  <c:v>36.628200000001144</c:v>
                </c:pt>
                <c:pt idx="797">
                  <c:v>36.628300000001147</c:v>
                </c:pt>
                <c:pt idx="798">
                  <c:v>36.62840000000115</c:v>
                </c:pt>
                <c:pt idx="799">
                  <c:v>36.628500000001154</c:v>
                </c:pt>
                <c:pt idx="800">
                  <c:v>36.628600000001157</c:v>
                </c:pt>
                <c:pt idx="801">
                  <c:v>36.62870000000116</c:v>
                </c:pt>
                <c:pt idx="802">
                  <c:v>36.628800000001164</c:v>
                </c:pt>
                <c:pt idx="803">
                  <c:v>36.628900000001167</c:v>
                </c:pt>
                <c:pt idx="804">
                  <c:v>36.62900000000117</c:v>
                </c:pt>
                <c:pt idx="805">
                  <c:v>36.629100000001173</c:v>
                </c:pt>
                <c:pt idx="806">
                  <c:v>36.629200000001177</c:v>
                </c:pt>
                <c:pt idx="807">
                  <c:v>36.62930000000118</c:v>
                </c:pt>
                <c:pt idx="808">
                  <c:v>36.629400000001183</c:v>
                </c:pt>
                <c:pt idx="809">
                  <c:v>36.629500000001187</c:v>
                </c:pt>
                <c:pt idx="810">
                  <c:v>36.62960000000119</c:v>
                </c:pt>
                <c:pt idx="811">
                  <c:v>36.629700000001193</c:v>
                </c:pt>
                <c:pt idx="812">
                  <c:v>36.629800000001197</c:v>
                </c:pt>
                <c:pt idx="813">
                  <c:v>36.6299000000012</c:v>
                </c:pt>
                <c:pt idx="814">
                  <c:v>36.630000000001203</c:v>
                </c:pt>
                <c:pt idx="815">
                  <c:v>36.630100000001207</c:v>
                </c:pt>
                <c:pt idx="816">
                  <c:v>36.63020000000121</c:v>
                </c:pt>
                <c:pt idx="817">
                  <c:v>36.630300000001213</c:v>
                </c:pt>
                <c:pt idx="818">
                  <c:v>36.630400000001217</c:v>
                </c:pt>
                <c:pt idx="819">
                  <c:v>36.63050000000122</c:v>
                </c:pt>
                <c:pt idx="820">
                  <c:v>36.630600000001223</c:v>
                </c:pt>
                <c:pt idx="821">
                  <c:v>36.630700000001227</c:v>
                </c:pt>
                <c:pt idx="822">
                  <c:v>36.63080000000123</c:v>
                </c:pt>
                <c:pt idx="823">
                  <c:v>36.630900000001233</c:v>
                </c:pt>
                <c:pt idx="824">
                  <c:v>36.631000000001237</c:v>
                </c:pt>
                <c:pt idx="825">
                  <c:v>36.63110000000124</c:v>
                </c:pt>
                <c:pt idx="826">
                  <c:v>36.631200000001243</c:v>
                </c:pt>
                <c:pt idx="827">
                  <c:v>36.631300000001247</c:v>
                </c:pt>
                <c:pt idx="828">
                  <c:v>36.63140000000125</c:v>
                </c:pt>
                <c:pt idx="829">
                  <c:v>36.631500000001253</c:v>
                </c:pt>
                <c:pt idx="830">
                  <c:v>36.631600000001256</c:v>
                </c:pt>
                <c:pt idx="831">
                  <c:v>36.63170000000126</c:v>
                </c:pt>
                <c:pt idx="832">
                  <c:v>36.631800000001263</c:v>
                </c:pt>
                <c:pt idx="833">
                  <c:v>36.631900000001266</c:v>
                </c:pt>
                <c:pt idx="834">
                  <c:v>36.63200000000127</c:v>
                </c:pt>
                <c:pt idx="835">
                  <c:v>36.632100000001273</c:v>
                </c:pt>
                <c:pt idx="836">
                  <c:v>36.632200000001276</c:v>
                </c:pt>
                <c:pt idx="837">
                  <c:v>36.63230000000128</c:v>
                </c:pt>
                <c:pt idx="838">
                  <c:v>36.632400000001283</c:v>
                </c:pt>
                <c:pt idx="839">
                  <c:v>36.632500000001286</c:v>
                </c:pt>
                <c:pt idx="840">
                  <c:v>36.63260000000129</c:v>
                </c:pt>
                <c:pt idx="841">
                  <c:v>36.632700000001293</c:v>
                </c:pt>
                <c:pt idx="842">
                  <c:v>36.632800000001296</c:v>
                </c:pt>
                <c:pt idx="843">
                  <c:v>36.6329000000013</c:v>
                </c:pt>
                <c:pt idx="844">
                  <c:v>36.633000000001303</c:v>
                </c:pt>
                <c:pt idx="845">
                  <c:v>36.633100000001306</c:v>
                </c:pt>
                <c:pt idx="846">
                  <c:v>36.63320000000131</c:v>
                </c:pt>
                <c:pt idx="847">
                  <c:v>36.633300000001313</c:v>
                </c:pt>
                <c:pt idx="848">
                  <c:v>36.633400000001316</c:v>
                </c:pt>
                <c:pt idx="849">
                  <c:v>36.63350000000132</c:v>
                </c:pt>
                <c:pt idx="850">
                  <c:v>36.633600000001323</c:v>
                </c:pt>
                <c:pt idx="851">
                  <c:v>36.633700000001326</c:v>
                </c:pt>
                <c:pt idx="852">
                  <c:v>36.63380000000133</c:v>
                </c:pt>
                <c:pt idx="853">
                  <c:v>36.633900000001333</c:v>
                </c:pt>
                <c:pt idx="854">
                  <c:v>36.634000000001336</c:v>
                </c:pt>
                <c:pt idx="855">
                  <c:v>36.634100000001339</c:v>
                </c:pt>
                <c:pt idx="856">
                  <c:v>36.634200000001343</c:v>
                </c:pt>
                <c:pt idx="857">
                  <c:v>36.634300000001346</c:v>
                </c:pt>
                <c:pt idx="858">
                  <c:v>36.634400000001349</c:v>
                </c:pt>
                <c:pt idx="859">
                  <c:v>36.634500000001353</c:v>
                </c:pt>
                <c:pt idx="860">
                  <c:v>36.634600000001356</c:v>
                </c:pt>
                <c:pt idx="861">
                  <c:v>36.634700000001359</c:v>
                </c:pt>
                <c:pt idx="862">
                  <c:v>36.634800000001363</c:v>
                </c:pt>
                <c:pt idx="863">
                  <c:v>36.634900000001366</c:v>
                </c:pt>
                <c:pt idx="864">
                  <c:v>36.635000000001369</c:v>
                </c:pt>
                <c:pt idx="865">
                  <c:v>36.635100000001373</c:v>
                </c:pt>
                <c:pt idx="866">
                  <c:v>36.635200000001376</c:v>
                </c:pt>
                <c:pt idx="867">
                  <c:v>36.635300000001379</c:v>
                </c:pt>
                <c:pt idx="868">
                  <c:v>36.635400000001383</c:v>
                </c:pt>
                <c:pt idx="869">
                  <c:v>36.635500000001386</c:v>
                </c:pt>
                <c:pt idx="870">
                  <c:v>36.635600000001389</c:v>
                </c:pt>
                <c:pt idx="871">
                  <c:v>36.635700000001393</c:v>
                </c:pt>
                <c:pt idx="872">
                  <c:v>36.635800000001396</c:v>
                </c:pt>
                <c:pt idx="873">
                  <c:v>36.635900000001399</c:v>
                </c:pt>
                <c:pt idx="874">
                  <c:v>36.636000000001403</c:v>
                </c:pt>
                <c:pt idx="875">
                  <c:v>36.636100000001406</c:v>
                </c:pt>
                <c:pt idx="876">
                  <c:v>36.636200000001409</c:v>
                </c:pt>
                <c:pt idx="877">
                  <c:v>36.636300000001413</c:v>
                </c:pt>
                <c:pt idx="878">
                  <c:v>36.636400000001416</c:v>
                </c:pt>
                <c:pt idx="879">
                  <c:v>36.636500000001419</c:v>
                </c:pt>
                <c:pt idx="880">
                  <c:v>36.636600000001422</c:v>
                </c:pt>
                <c:pt idx="881">
                  <c:v>36.636700000001426</c:v>
                </c:pt>
                <c:pt idx="882">
                  <c:v>36.636800000001429</c:v>
                </c:pt>
                <c:pt idx="883">
                  <c:v>36.636900000001432</c:v>
                </c:pt>
                <c:pt idx="884">
                  <c:v>36.637000000001436</c:v>
                </c:pt>
                <c:pt idx="885">
                  <c:v>36.637100000001439</c:v>
                </c:pt>
                <c:pt idx="886">
                  <c:v>36.637200000001442</c:v>
                </c:pt>
                <c:pt idx="887">
                  <c:v>36.637300000001446</c:v>
                </c:pt>
                <c:pt idx="888">
                  <c:v>36.637400000001449</c:v>
                </c:pt>
                <c:pt idx="889">
                  <c:v>36.637500000001452</c:v>
                </c:pt>
                <c:pt idx="890">
                  <c:v>36.637600000001456</c:v>
                </c:pt>
                <c:pt idx="891">
                  <c:v>36.637700000001459</c:v>
                </c:pt>
                <c:pt idx="892">
                  <c:v>36.637800000001462</c:v>
                </c:pt>
                <c:pt idx="893">
                  <c:v>36.637900000001466</c:v>
                </c:pt>
                <c:pt idx="894">
                  <c:v>36.638000000001469</c:v>
                </c:pt>
                <c:pt idx="895">
                  <c:v>36.638100000001472</c:v>
                </c:pt>
                <c:pt idx="896">
                  <c:v>36.638200000001476</c:v>
                </c:pt>
                <c:pt idx="897">
                  <c:v>36.638300000001479</c:v>
                </c:pt>
                <c:pt idx="898">
                  <c:v>36.638400000001482</c:v>
                </c:pt>
                <c:pt idx="899">
                  <c:v>36.638500000001486</c:v>
                </c:pt>
                <c:pt idx="900">
                  <c:v>36.638600000001489</c:v>
                </c:pt>
                <c:pt idx="901">
                  <c:v>36.638700000001492</c:v>
                </c:pt>
                <c:pt idx="902">
                  <c:v>36.638800000001496</c:v>
                </c:pt>
                <c:pt idx="903">
                  <c:v>36.638900000001499</c:v>
                </c:pt>
                <c:pt idx="904">
                  <c:v>36.639000000001502</c:v>
                </c:pt>
                <c:pt idx="905">
                  <c:v>36.639100000001505</c:v>
                </c:pt>
                <c:pt idx="906">
                  <c:v>36.639200000001509</c:v>
                </c:pt>
                <c:pt idx="907">
                  <c:v>36.639300000001512</c:v>
                </c:pt>
                <c:pt idx="908">
                  <c:v>36.639400000001515</c:v>
                </c:pt>
                <c:pt idx="909">
                  <c:v>36.639500000001519</c:v>
                </c:pt>
                <c:pt idx="910">
                  <c:v>36.639600000001522</c:v>
                </c:pt>
                <c:pt idx="911">
                  <c:v>36.639700000001525</c:v>
                </c:pt>
                <c:pt idx="912">
                  <c:v>36.639800000001529</c:v>
                </c:pt>
                <c:pt idx="913">
                  <c:v>36.639900000001532</c:v>
                </c:pt>
                <c:pt idx="914">
                  <c:v>36.640000000001535</c:v>
                </c:pt>
                <c:pt idx="915">
                  <c:v>36.640100000001539</c:v>
                </c:pt>
                <c:pt idx="916">
                  <c:v>36.640200000001542</c:v>
                </c:pt>
                <c:pt idx="917">
                  <c:v>36.640300000001545</c:v>
                </c:pt>
                <c:pt idx="918">
                  <c:v>36.640400000001549</c:v>
                </c:pt>
                <c:pt idx="919">
                  <c:v>36.640500000001552</c:v>
                </c:pt>
                <c:pt idx="920">
                  <c:v>36.640600000001555</c:v>
                </c:pt>
                <c:pt idx="921">
                  <c:v>36.640700000001559</c:v>
                </c:pt>
                <c:pt idx="922">
                  <c:v>36.640800000001562</c:v>
                </c:pt>
                <c:pt idx="923">
                  <c:v>36.640900000001565</c:v>
                </c:pt>
                <c:pt idx="924">
                  <c:v>36.641000000001569</c:v>
                </c:pt>
                <c:pt idx="925">
                  <c:v>36.641100000001572</c:v>
                </c:pt>
                <c:pt idx="926">
                  <c:v>36.641200000001575</c:v>
                </c:pt>
                <c:pt idx="927">
                  <c:v>36.641300000001578</c:v>
                </c:pt>
                <c:pt idx="928">
                  <c:v>36.641400000001582</c:v>
                </c:pt>
                <c:pt idx="929">
                  <c:v>36.641500000001585</c:v>
                </c:pt>
                <c:pt idx="930">
                  <c:v>36.641600000001588</c:v>
                </c:pt>
                <c:pt idx="931">
                  <c:v>36.641700000001592</c:v>
                </c:pt>
                <c:pt idx="932">
                  <c:v>36.641800000001595</c:v>
                </c:pt>
                <c:pt idx="933">
                  <c:v>36.641900000001598</c:v>
                </c:pt>
                <c:pt idx="934">
                  <c:v>36.642000000001602</c:v>
                </c:pt>
                <c:pt idx="935">
                  <c:v>36.642100000001605</c:v>
                </c:pt>
                <c:pt idx="936">
                  <c:v>36.642200000001608</c:v>
                </c:pt>
                <c:pt idx="937">
                  <c:v>36.642300000001612</c:v>
                </c:pt>
                <c:pt idx="938">
                  <c:v>36.642400000001615</c:v>
                </c:pt>
                <c:pt idx="939">
                  <c:v>36.642500000001618</c:v>
                </c:pt>
                <c:pt idx="940">
                  <c:v>36.642600000001622</c:v>
                </c:pt>
                <c:pt idx="941">
                  <c:v>36.642700000001625</c:v>
                </c:pt>
                <c:pt idx="942">
                  <c:v>36.642800000001628</c:v>
                </c:pt>
                <c:pt idx="943">
                  <c:v>36.642900000001632</c:v>
                </c:pt>
                <c:pt idx="944">
                  <c:v>36.643000000001635</c:v>
                </c:pt>
                <c:pt idx="945">
                  <c:v>36.643100000001638</c:v>
                </c:pt>
                <c:pt idx="946">
                  <c:v>36.643200000001642</c:v>
                </c:pt>
                <c:pt idx="947">
                  <c:v>36.643300000001645</c:v>
                </c:pt>
                <c:pt idx="948">
                  <c:v>36.643400000001648</c:v>
                </c:pt>
                <c:pt idx="949">
                  <c:v>36.643500000001652</c:v>
                </c:pt>
                <c:pt idx="950">
                  <c:v>36.643600000001655</c:v>
                </c:pt>
                <c:pt idx="951">
                  <c:v>36.643700000001658</c:v>
                </c:pt>
                <c:pt idx="952">
                  <c:v>36.643800000001661</c:v>
                </c:pt>
                <c:pt idx="953">
                  <c:v>36.643900000001665</c:v>
                </c:pt>
                <c:pt idx="954">
                  <c:v>36.644000000001668</c:v>
                </c:pt>
                <c:pt idx="955">
                  <c:v>36.644100000001671</c:v>
                </c:pt>
                <c:pt idx="956">
                  <c:v>36.644200000001675</c:v>
                </c:pt>
                <c:pt idx="957">
                  <c:v>36.644300000001678</c:v>
                </c:pt>
                <c:pt idx="958">
                  <c:v>36.644400000001681</c:v>
                </c:pt>
                <c:pt idx="959">
                  <c:v>36.644500000001685</c:v>
                </c:pt>
                <c:pt idx="960">
                  <c:v>36.644600000001688</c:v>
                </c:pt>
                <c:pt idx="961">
                  <c:v>36.644700000001691</c:v>
                </c:pt>
                <c:pt idx="962">
                  <c:v>36.644800000001695</c:v>
                </c:pt>
                <c:pt idx="963">
                  <c:v>36.644900000001698</c:v>
                </c:pt>
                <c:pt idx="964">
                  <c:v>36.645000000001701</c:v>
                </c:pt>
                <c:pt idx="965">
                  <c:v>36.645100000001705</c:v>
                </c:pt>
                <c:pt idx="966">
                  <c:v>36.645200000001708</c:v>
                </c:pt>
                <c:pt idx="967">
                  <c:v>36.645300000001711</c:v>
                </c:pt>
                <c:pt idx="968">
                  <c:v>36.645400000001715</c:v>
                </c:pt>
                <c:pt idx="969">
                  <c:v>36.645500000001718</c:v>
                </c:pt>
                <c:pt idx="970">
                  <c:v>36.645600000001721</c:v>
                </c:pt>
                <c:pt idx="971">
                  <c:v>36.645700000001725</c:v>
                </c:pt>
                <c:pt idx="972">
                  <c:v>36.645800000001728</c:v>
                </c:pt>
                <c:pt idx="973">
                  <c:v>36.645900000001731</c:v>
                </c:pt>
                <c:pt idx="974">
                  <c:v>36.646000000001735</c:v>
                </c:pt>
                <c:pt idx="975">
                  <c:v>36.646100000001738</c:v>
                </c:pt>
                <c:pt idx="976">
                  <c:v>36.646200000001741</c:v>
                </c:pt>
                <c:pt idx="977">
                  <c:v>36.646300000001744</c:v>
                </c:pt>
                <c:pt idx="978">
                  <c:v>36.646400000001748</c:v>
                </c:pt>
                <c:pt idx="979">
                  <c:v>36.646500000001751</c:v>
                </c:pt>
                <c:pt idx="980">
                  <c:v>36.646600000001754</c:v>
                </c:pt>
                <c:pt idx="981">
                  <c:v>36.646700000001758</c:v>
                </c:pt>
                <c:pt idx="982">
                  <c:v>36.646800000001761</c:v>
                </c:pt>
                <c:pt idx="983">
                  <c:v>36.646900000001764</c:v>
                </c:pt>
                <c:pt idx="984">
                  <c:v>36.647000000001768</c:v>
                </c:pt>
                <c:pt idx="985">
                  <c:v>36.647100000001771</c:v>
                </c:pt>
                <c:pt idx="986">
                  <c:v>36.647200000001774</c:v>
                </c:pt>
                <c:pt idx="987">
                  <c:v>36.647300000001778</c:v>
                </c:pt>
                <c:pt idx="988">
                  <c:v>36.647400000001781</c:v>
                </c:pt>
                <c:pt idx="989">
                  <c:v>36.647500000001784</c:v>
                </c:pt>
                <c:pt idx="990">
                  <c:v>36.647600000001788</c:v>
                </c:pt>
                <c:pt idx="991">
                  <c:v>36.647700000001791</c:v>
                </c:pt>
                <c:pt idx="992">
                  <c:v>36.647800000001794</c:v>
                </c:pt>
                <c:pt idx="993">
                  <c:v>36.647900000001798</c:v>
                </c:pt>
                <c:pt idx="994">
                  <c:v>36.648000000001801</c:v>
                </c:pt>
                <c:pt idx="995">
                  <c:v>36.648100000001804</c:v>
                </c:pt>
                <c:pt idx="996">
                  <c:v>36.648200000001808</c:v>
                </c:pt>
                <c:pt idx="997">
                  <c:v>36.648300000001811</c:v>
                </c:pt>
                <c:pt idx="998">
                  <c:v>36.648400000001814</c:v>
                </c:pt>
                <c:pt idx="999">
                  <c:v>36.648500000001818</c:v>
                </c:pt>
                <c:pt idx="1000">
                  <c:v>36.648600000001821</c:v>
                </c:pt>
              </c:numCache>
            </c:numRef>
          </c:xVal>
          <c:yVal>
            <c:numRef>
              <c:f>Calculs!$AG$4:$AG$1004</c:f>
              <c:numCache>
                <c:formatCode>0.00</c:formatCode>
                <c:ptCount val="1001"/>
                <c:pt idx="0">
                  <c:v>0</c:v>
                </c:pt>
                <c:pt idx="1">
                  <c:v>-13.955346247895175</c:v>
                </c:pt>
                <c:pt idx="2">
                  <c:v>31.48628372922219</c:v>
                </c:pt>
                <c:pt idx="3">
                  <c:v>50.488691165725186</c:v>
                </c:pt>
                <c:pt idx="4">
                  <c:v>43.094296099816219</c:v>
                </c:pt>
                <c:pt idx="5">
                  <c:v>39.194745155333806</c:v>
                </c:pt>
                <c:pt idx="6">
                  <c:v>38.784757771305692</c:v>
                </c:pt>
                <c:pt idx="7">
                  <c:v>38.375415455169232</c:v>
                </c:pt>
                <c:pt idx="8">
                  <c:v>37.966726796545103</c:v>
                </c:pt>
                <c:pt idx="9">
                  <c:v>37.558700252682016</c:v>
                </c:pt>
                <c:pt idx="10">
                  <c:v>37.151344148787963</c:v>
                </c:pt>
                <c:pt idx="11">
                  <c:v>36.744666678378223</c:v>
                </c:pt>
                <c:pt idx="12">
                  <c:v>36.338675903640208</c:v>
                </c:pt>
                <c:pt idx="13">
                  <c:v>35.933379755814613</c:v>
                </c:pt>
                <c:pt idx="14">
                  <c:v>35.528786035592638</c:v>
                </c:pt>
                <c:pt idx="15">
                  <c:v>35.124902413528964</c:v>
                </c:pt>
                <c:pt idx="16">
                  <c:v>34.721736430470216</c:v>
                </c:pt>
                <c:pt idx="17">
                  <c:v>34.319295497998546</c:v>
                </c:pt>
                <c:pt idx="18">
                  <c:v>33.917586898890036</c:v>
                </c:pt>
                <c:pt idx="19">
                  <c:v>33.516617787587755</c:v>
                </c:pt>
                <c:pt idx="20">
                  <c:v>33.116395190688827</c:v>
                </c:pt>
                <c:pt idx="21">
                  <c:v>32.716926007445608</c:v>
                </c:pt>
                <c:pt idx="22">
                  <c:v>32.318217010280563</c:v>
                </c:pt>
                <c:pt idx="23">
                  <c:v>31.920274845314147</c:v>
                </c:pt>
                <c:pt idx="24">
                  <c:v>31.523106032906099</c:v>
                </c:pt>
                <c:pt idx="25">
                  <c:v>31.126716968209156</c:v>
                </c:pt>
                <c:pt idx="26">
                  <c:v>30.731113921735407</c:v>
                </c:pt>
                <c:pt idx="27">
                  <c:v>30.336303039934599</c:v>
                </c:pt>
                <c:pt idx="28">
                  <c:v>29.942290345784478</c:v>
                </c:pt>
                <c:pt idx="29">
                  <c:v>29.549081739392456</c:v>
                </c:pt>
                <c:pt idx="30">
                  <c:v>29.156682998608765</c:v>
                </c:pt>
                <c:pt idx="31">
                  <c:v>28.765099779650285</c:v>
                </c:pt>
                <c:pt idx="32">
                  <c:v>28.374337617735357</c:v>
                </c:pt>
                <c:pt idx="33">
                  <c:v>27.984401927728726</c:v>
                </c:pt>
                <c:pt idx="34">
                  <c:v>27.595298004796707</c:v>
                </c:pt>
                <c:pt idx="35">
                  <c:v>27.207031025072137</c:v>
                </c:pt>
                <c:pt idx="36">
                  <c:v>26.81960604632885</c:v>
                </c:pt>
                <c:pt idx="37">
                  <c:v>26.433028008665396</c:v>
                </c:pt>
                <c:pt idx="38">
                  <c:v>26.047301735197799</c:v>
                </c:pt>
                <c:pt idx="39">
                  <c:v>25.662431932760878</c:v>
                </c:pt>
                <c:pt idx="40">
                  <c:v>25.278423192618142</c:v>
                </c:pt>
                <c:pt idx="41">
                  <c:v>24.895279991179763</c:v>
                </c:pt>
                <c:pt idx="42">
                  <c:v>24.513006690728382</c:v>
                </c:pt>
                <c:pt idx="43">
                  <c:v>24.131607540152672</c:v>
                </c:pt>
                <c:pt idx="44">
                  <c:v>23.751086675688075</c:v>
                </c:pt>
                <c:pt idx="45">
                  <c:v>23.371448121664859</c:v>
                </c:pt>
                <c:pt idx="46">
                  <c:v>22.992695791262719</c:v>
                </c:pt>
                <c:pt idx="47">
                  <c:v>22.614833487272151</c:v>
                </c:pt>
                <c:pt idx="48">
                  <c:v>22.23786490286221</c:v>
                </c:pt>
                <c:pt idx="49">
                  <c:v>21.861793622354057</c:v>
                </c:pt>
                <c:pt idx="50">
                  <c:v>21.486623122000516</c:v>
                </c:pt>
                <c:pt idx="51">
                  <c:v>21.112356770771264</c:v>
                </c:pt>
                <c:pt idx="52">
                  <c:v>20.738997831143166</c:v>
                </c:pt>
                <c:pt idx="53">
                  <c:v>20.366549459895758</c:v>
                </c:pt>
                <c:pt idx="54">
                  <c:v>19.995014708911686</c:v>
                </c:pt>
                <c:pt idx="55">
                  <c:v>19.624396525981581</c:v>
                </c:pt>
                <c:pt idx="56">
                  <c:v>19.254697755613321</c:v>
                </c:pt>
                <c:pt idx="57">
                  <c:v>18.885921139845735</c:v>
                </c:pt>
                <c:pt idx="58">
                  <c:v>18.518069319065695</c:v>
                </c:pt>
                <c:pt idx="59">
                  <c:v>18.151144832829452</c:v>
                </c:pt>
                <c:pt idx="60">
                  <c:v>17.785150120686957</c:v>
                </c:pt>
                <c:pt idx="61">
                  <c:v>17.420087523009844</c:v>
                </c:pt>
                <c:pt idx="62">
                  <c:v>17.055959281822073</c:v>
                </c:pt>
                <c:pt idx="63">
                  <c:v>16.388654511657982</c:v>
                </c:pt>
                <c:pt idx="64">
                  <c:v>15.418889110141592</c:v>
                </c:pt>
                <c:pt idx="65">
                  <c:v>14.451688891501108</c:v>
                </c:pt>
                <c:pt idx="66">
                  <c:v>13.487067479074433</c:v>
                </c:pt>
                <c:pt idx="67">
                  <c:v>12.246205755334799</c:v>
                </c:pt>
                <c:pt idx="68">
                  <c:v>10.729803340919606</c:v>
                </c:pt>
                <c:pt idx="69">
                  <c:v>8.721594043242817</c:v>
                </c:pt>
                <c:pt idx="70">
                  <c:v>6.2228819839143892</c:v>
                </c:pt>
                <c:pt idx="71">
                  <c:v>3.7312362030119246</c:v>
                </c:pt>
                <c:pt idx="72">
                  <c:v>1.2467387615194774</c:v>
                </c:pt>
                <c:pt idx="73">
                  <c:v>-1.2305323244422102</c:v>
                </c:pt>
                <c:pt idx="74">
                  <c:v>-3.7005030483507975</c:v>
                </c:pt>
                <c:pt idx="75">
                  <c:v>-6.1631033769426207</c:v>
                </c:pt>
                <c:pt idx="76">
                  <c:v>-8.618267212853544</c:v>
                </c:pt>
                <c:pt idx="77">
                  <c:v>-11.065932356295203</c:v>
                </c:pt>
                <c:pt idx="78">
                  <c:v>-13.506040465820899</c:v>
                </c:pt>
                <c:pt idx="79">
                  <c:v>-15.938537018235008</c:v>
                </c:pt>
                <c:pt idx="80">
                  <c:v>-18.363371267698561</c:v>
                </c:pt>
                <c:pt idx="81">
                  <c:v>-20.19029155006146</c:v>
                </c:pt>
                <c:pt idx="82">
                  <c:v>-21.421129012060529</c:v>
                </c:pt>
                <c:pt idx="83">
                  <c:v>-22.648074479824118</c:v>
                </c:pt>
                <c:pt idx="84">
                  <c:v>-23.871130952476747</c:v>
                </c:pt>
                <c:pt idx="85">
                  <c:v>-25.090302281380275</c:v>
                </c:pt>
                <c:pt idx="86">
                  <c:v>-26.30559315803356</c:v>
                </c:pt>
                <c:pt idx="87">
                  <c:v>-27.517009102003918</c:v>
                </c:pt>
                <c:pt idx="88">
                  <c:v>-28.724556448894994</c:v>
                </c:pt>
                <c:pt idx="89">
                  <c:v>-29.741739422757181</c:v>
                </c:pt>
                <c:pt idx="90">
                  <c:v>-30.569184622731427</c:v>
                </c:pt>
                <c:pt idx="91">
                  <c:v>-31.394045147355733</c:v>
                </c:pt>
                <c:pt idx="92">
                  <c:v>-32.21633188056056</c:v>
                </c:pt>
                <c:pt idx="93">
                  <c:v>-32.989421265323188</c:v>
                </c:pt>
                <c:pt idx="94">
                  <c:v>-33.713481443053197</c:v>
                </c:pt>
                <c:pt idx="95">
                  <c:v>-34.435319136535817</c:v>
                </c:pt>
                <c:pt idx="96">
                  <c:v>-35.15494598292463</c:v>
                </c:pt>
                <c:pt idx="97">
                  <c:v>-35.685811936190071</c:v>
                </c:pt>
                <c:pt idx="98">
                  <c:v>-36.028561447559845</c:v>
                </c:pt>
                <c:pt idx="99">
                  <c:v>-36.370407206681108</c:v>
                </c:pt>
                <c:pt idx="100">
                  <c:v>-36.711356525802714</c:v>
                </c:pt>
                <c:pt idx="101">
                  <c:v>-37.051416734467331</c:v>
                </c:pt>
                <c:pt idx="102">
                  <c:v>-37.39059517897585</c:v>
                </c:pt>
                <c:pt idx="103">
                  <c:v>-37.728899221862669</c:v>
                </c:pt>
                <c:pt idx="104">
                  <c:v>-38.066336241381535</c:v>
                </c:pt>
                <c:pt idx="105">
                  <c:v>-38.402913631002278</c:v>
                </c:pt>
                <c:pt idx="106">
                  <c:v>-38.738638798917975</c:v>
                </c:pt>
                <c:pt idx="107">
                  <c:v>-39.073519167562594</c:v>
                </c:pt>
                <c:pt idx="108">
                  <c:v>-39.407562173139247</c:v>
                </c:pt>
                <c:pt idx="109">
                  <c:v>-39.50754274563409</c:v>
                </c:pt>
                <c:pt idx="110">
                  <c:v>-39.374259907943497</c:v>
                </c:pt>
                <c:pt idx="111">
                  <c:v>-39.241736405518651</c:v>
                </c:pt>
                <c:pt idx="112">
                  <c:v>-39.109966464537663</c:v>
                </c:pt>
                <c:pt idx="113">
                  <c:v>-38.978944366216943</c:v>
                </c:pt>
                <c:pt idx="114">
                  <c:v>-38.848664446180614</c:v>
                </c:pt>
                <c:pt idx="115">
                  <c:v>-38.719121093838112</c:v>
                </c:pt>
                <c:pt idx="116">
                  <c:v>-38.590308751770394</c:v>
                </c:pt>
                <c:pt idx="117">
                  <c:v>-38.462221915124033</c:v>
                </c:pt>
                <c:pt idx="118">
                  <c:v>-38.334855131013526</c:v>
                </c:pt>
                <c:pt idx="119">
                  <c:v>-38.208202997931551</c:v>
                </c:pt>
                <c:pt idx="120">
                  <c:v>-38.082260165166851</c:v>
                </c:pt>
                <c:pt idx="121">
                  <c:v>-37.957021332230021</c:v>
                </c:pt>
                <c:pt idx="122">
                  <c:v>-37.832481248286783</c:v>
                </c:pt>
                <c:pt idx="123">
                  <c:v>-37.708634711598698</c:v>
                </c:pt>
                <c:pt idx="124">
                  <c:v>-37.585476568971217</c:v>
                </c:pt>
                <c:pt idx="125">
                  <c:v>-37.463001715209053</c:v>
                </c:pt>
                <c:pt idx="126">
                  <c:v>-37.341205092578605</c:v>
                </c:pt>
                <c:pt idx="127">
                  <c:v>-37.220081690277425</c:v>
                </c:pt>
                <c:pt idx="128">
                  <c:v>-37.099626543910645</c:v>
                </c:pt>
                <c:pt idx="129">
                  <c:v>-36.979834734974119</c:v>
                </c:pt>
                <c:pt idx="130">
                  <c:v>-36.86070139034441</c:v>
                </c:pt>
                <c:pt idx="131">
                  <c:v>-36.742221681775213</c:v>
                </c:pt>
                <c:pt idx="132">
                  <c:v>-36.624390825400567</c:v>
                </c:pt>
                <c:pt idx="133">
                  <c:v>-36.507204081244183</c:v>
                </c:pt>
                <c:pt idx="134">
                  <c:v>-36.390656752735282</c:v>
                </c:pt>
                <c:pt idx="135">
                  <c:v>-36.274744186230642</c:v>
                </c:pt>
                <c:pt idx="136">
                  <c:v>-36.159461770542734</c:v>
                </c:pt>
                <c:pt idx="137">
                  <c:v>-36.044804936473916</c:v>
                </c:pt>
                <c:pt idx="138">
                  <c:v>-35.930769156356646</c:v>
                </c:pt>
                <c:pt idx="139">
                  <c:v>-35.81734994359951</c:v>
                </c:pt>
                <c:pt idx="140">
                  <c:v>-35.704542852239072</c:v>
                </c:pt>
                <c:pt idx="141">
                  <c:v>-35.592343476497376</c:v>
                </c:pt>
                <c:pt idx="142">
                  <c:v>-35.480747450345149</c:v>
                </c:pt>
                <c:pt idx="143">
                  <c:v>-35.369750447070459</c:v>
                </c:pt>
                <c:pt idx="144">
                  <c:v>-35.259348178852917</c:v>
                </c:pt>
                <c:pt idx="145">
                  <c:v>-35.14953639634318</c:v>
                </c:pt>
                <c:pt idx="146">
                  <c:v>-35.040310888247802</c:v>
                </c:pt>
                <c:pt idx="147">
                  <c:v>-34.931667480919288</c:v>
                </c:pt>
                <c:pt idx="148">
                  <c:v>-34.823602037951332</c:v>
                </c:pt>
                <c:pt idx="149">
                  <c:v>-34.716110459779088</c:v>
                </c:pt>
                <c:pt idx="150">
                  <c:v>-34.609188683284501</c:v>
                </c:pt>
                <c:pt idx="151">
                  <c:v>-34.502832681406439</c:v>
                </c:pt>
                <c:pt idx="152">
                  <c:v>-34.397038462755951</c:v>
                </c:pt>
                <c:pt idx="153">
                  <c:v>-34.291802071235956</c:v>
                </c:pt>
                <c:pt idx="154">
                  <c:v>-34.187119585665997</c:v>
                </c:pt>
                <c:pt idx="155">
                  <c:v>-34.082987119411428</c:v>
                </c:pt>
                <c:pt idx="156">
                  <c:v>-33.979400820017311</c:v>
                </c:pt>
                <c:pt idx="157">
                  <c:v>-33.87635686884677</c:v>
                </c:pt>
                <c:pt idx="158">
                  <c:v>-33.773851480723806</c:v>
                </c:pt>
                <c:pt idx="159">
                  <c:v>-33.671880903580622</c:v>
                </c:pt>
                <c:pt idx="160">
                  <c:v>-33.570441418109134</c:v>
                </c:pt>
                <c:pt idx="161">
                  <c:v>-33.469529337416816</c:v>
                </c:pt>
                <c:pt idx="162">
                  <c:v>-33.369141006686831</c:v>
                </c:pt>
                <c:pt idx="163">
                  <c:v>-33.269272802842238</c:v>
                </c:pt>
                <c:pt idx="164">
                  <c:v>-33.169921134214249</c:v>
                </c:pt>
                <c:pt idx="165">
                  <c:v>-33.071082440214752</c:v>
                </c:pt>
                <c:pt idx="166">
                  <c:v>-32.972753191012487</c:v>
                </c:pt>
                <c:pt idx="167">
                  <c:v>-32.874929887213419</c:v>
                </c:pt>
                <c:pt idx="168">
                  <c:v>-32.777609059544972</c:v>
                </c:pt>
                <c:pt idx="169">
                  <c:v>-32.680787268543853</c:v>
                </c:pt>
                <c:pt idx="170">
                  <c:v>-32.584461104247907</c:v>
                </c:pt>
                <c:pt idx="171">
                  <c:v>-32.488627185891602</c:v>
                </c:pt>
                <c:pt idx="172">
                  <c:v>-32.393282161605072</c:v>
                </c:pt>
                <c:pt idx="173">
                  <c:v>-32.298422708116917</c:v>
                </c:pt>
                <c:pt idx="174">
                  <c:v>-32.204045530460562</c:v>
                </c:pt>
                <c:pt idx="175">
                  <c:v>-32.110147361684</c:v>
                </c:pt>
                <c:pt idx="176">
                  <c:v>-32.016724962563138</c:v>
                </c:pt>
                <c:pt idx="177">
                  <c:v>-31.923775121318535</c:v>
                </c:pt>
                <c:pt idx="178">
                  <c:v>-31.831294653335448</c:v>
                </c:pt>
                <c:pt idx="179">
                  <c:v>-31.739280400887303</c:v>
                </c:pt>
                <c:pt idx="180">
                  <c:v>-31.647729232862382</c:v>
                </c:pt>
                <c:pt idx="181">
                  <c:v>-31.556638044493731</c:v>
                </c:pt>
                <c:pt idx="182">
                  <c:v>-31.466003757092377</c:v>
                </c:pt>
                <c:pt idx="183">
                  <c:v>-31.375823317783556</c:v>
                </c:pt>
                <c:pt idx="184">
                  <c:v>-31.286093699246145</c:v>
                </c:pt>
                <c:pt idx="185">
                  <c:v>-31.196811899455099</c:v>
                </c:pt>
                <c:pt idx="186">
                  <c:v>-31.107974941426956</c:v>
                </c:pt>
                <c:pt idx="187">
                  <c:v>-31.019579872968364</c:v>
                </c:pt>
                <c:pt idx="188">
                  <c:v>-30.931623766427418</c:v>
                </c:pt>
                <c:pt idx="189">
                  <c:v>-30.844103718448046</c:v>
                </c:pt>
                <c:pt idx="190">
                  <c:v>-30.757016849727211</c:v>
                </c:pt>
                <c:pt idx="191">
                  <c:v>-30.670360304774874</c:v>
                </c:pt>
                <c:pt idx="192">
                  <c:v>-30.584131251676851</c:v>
                </c:pt>
                <c:pt idx="193">
                  <c:v>-30.498326881860422</c:v>
                </c:pt>
                <c:pt idx="194">
                  <c:v>-30.412944409862497</c:v>
                </c:pt>
                <c:pt idx="195">
                  <c:v>-30.327981073100744</c:v>
                </c:pt>
                <c:pt idx="196">
                  <c:v>-30.243434131647049</c:v>
                </c:pt>
                <c:pt idx="197">
                  <c:v>-30.159300868003815</c:v>
                </c:pt>
                <c:pt idx="198">
                  <c:v>-30.075578586882749</c:v>
                </c:pt>
                <c:pt idx="199">
                  <c:v>-29.992264614986219</c:v>
                </c:pt>
                <c:pt idx="200">
                  <c:v>-29.909356300791078</c:v>
                </c:pt>
                <c:pt idx="201">
                  <c:v>-29.826851014334991</c:v>
                </c:pt>
                <c:pt idx="202">
                  <c:v>-29.013984833405544</c:v>
                </c:pt>
                <c:pt idx="203">
                  <c:v>-28.239745588299257</c:v>
                </c:pt>
                <c:pt idx="204">
                  <c:v>-27.501716521653485</c:v>
                </c:pt>
                <c:pt idx="205">
                  <c:v>-26.7976678811937</c:v>
                </c:pt>
                <c:pt idx="206">
                  <c:v>-26.125539678422864</c:v>
                </c:pt>
                <c:pt idx="207">
                  <c:v>-25.483426275839896</c:v>
                </c:pt>
                <c:pt idx="208">
                  <c:v>-24.869562583361407</c:v>
                </c:pt>
                <c:pt idx="209">
                  <c:v>-24.282311673816444</c:v>
                </c:pt>
                <c:pt idx="210">
                  <c:v>-23.720153652313428</c:v>
                </c:pt>
                <c:pt idx="211">
                  <c:v>-23.181675635617268</c:v>
                </c:pt>
                <c:pt idx="212">
                  <c:v>-22.665562715985359</c:v>
                </c:pt>
                <c:pt idx="213">
                  <c:v>-22.170589799659453</c:v>
                </c:pt>
                <c:pt idx="214">
                  <c:v>-21.695614223786102</c:v>
                </c:pt>
                <c:pt idx="215">
                  <c:v>-21.239569067266309</c:v>
                </c:pt>
                <c:pt idx="216">
                  <c:v>-20.801457081188694</c:v>
                </c:pt>
                <c:pt idx="217">
                  <c:v>-20.380345173308481</c:v>
                </c:pt>
                <c:pt idx="218">
                  <c:v>-19.975359388691025</c:v>
                </c:pt>
                <c:pt idx="219">
                  <c:v>-19.585680335306066</c:v>
                </c:pt>
                <c:pt idx="220">
                  <c:v>-19.210539009175783</c:v>
                </c:pt>
                <c:pt idx="221">
                  <c:v>-18.849212978763958</c:v>
                </c:pt>
                <c:pt idx="222">
                  <c:v>-18.501022892743805</c:v>
                </c:pt>
                <c:pt idx="223">
                  <c:v>-18.165329279184391</c:v>
                </c:pt>
                <c:pt idx="224">
                  <c:v>-17.841529607622224</c:v>
                </c:pt>
                <c:pt idx="225">
                  <c:v>-17.529055588497336</c:v>
                </c:pt>
                <c:pt idx="226">
                  <c:v>-17.22737068708615</c:v>
                </c:pt>
                <c:pt idx="227">
                  <c:v>-16.935967831401328</c:v>
                </c:pt>
                <c:pt idx="228">
                  <c:v>-16.654367295591761</c:v>
                </c:pt>
                <c:pt idx="229">
                  <c:v>-16.382114742197373</c:v>
                </c:pt>
                <c:pt idx="230">
                  <c:v>-16.118779408222579</c:v>
                </c:pt>
                <c:pt idx="231">
                  <c:v>-15.863952421414634</c:v>
                </c:pt>
                <c:pt idx="232">
                  <c:v>-15.617245234390055</c:v>
                </c:pt>
                <c:pt idx="233">
                  <c:v>-15.378288165362937</c:v>
                </c:pt>
                <c:pt idx="234">
                  <c:v>-15.14672903520939</c:v>
                </c:pt>
                <c:pt idx="235">
                  <c:v>-14.922231891466662</c:v>
                </c:pt>
                <c:pt idx="236">
                  <c:v>-14.704475810625599</c:v>
                </c:pt>
                <c:pt idx="237">
                  <c:v>-14.493153770742039</c:v>
                </c:pt>
                <c:pt idx="238">
                  <c:v>-14.287971586974539</c:v>
                </c:pt>
                <c:pt idx="239">
                  <c:v>-14.088646903161274</c:v>
                </c:pt>
                <c:pt idx="240">
                  <c:v>-13.894908232983592</c:v>
                </c:pt>
                <c:pt idx="241">
                  <c:v>-13.706494044633978</c:v>
                </c:pt>
                <c:pt idx="242">
                  <c:v>-13.523151883215931</c:v>
                </c:pt>
                <c:pt idx="243">
                  <c:v>-13.34463752535725</c:v>
                </c:pt>
                <c:pt idx="244">
                  <c:v>-13.170714160718671</c:v>
                </c:pt>
                <c:pt idx="245">
                  <c:v>-13.001151595230265</c:v>
                </c:pt>
                <c:pt idx="246">
                  <c:v>-12.835725470989576</c:v>
                </c:pt>
                <c:pt idx="247">
                  <c:v>-12.674216497810452</c:v>
                </c:pt>
                <c:pt idx="248">
                  <c:v>-12.516409691420559</c:v>
                </c:pt>
                <c:pt idx="249">
                  <c:v>-12.362093613269813</c:v>
                </c:pt>
                <c:pt idx="250">
                  <c:v>-12.211059606831864</c:v>
                </c:pt>
                <c:pt idx="251">
                  <c:v>-12.063101025157138</c:v>
                </c:pt>
                <c:pt idx="252">
                  <c:v>-11.918012444269184</c:v>
                </c:pt>
                <c:pt idx="253">
                  <c:v>-11.775588856787298</c:v>
                </c:pt>
                <c:pt idx="254">
                  <c:v>-11.635624839908919</c:v>
                </c:pt>
                <c:pt idx="255">
                  <c:v>-11.497913691597578</c:v>
                </c:pt>
                <c:pt idx="256">
                  <c:v>-11.36224652849949</c:v>
                </c:pt>
                <c:pt idx="257">
                  <c:v>-11.228411338760091</c:v>
                </c:pt>
                <c:pt idx="258">
                  <c:v>-11.09619198253834</c:v>
                </c:pt>
                <c:pt idx="259">
                  <c:v>-10.965367132633324</c:v>
                </c:pt>
                <c:pt idx="260">
                  <c:v>-10.835709147260566</c:v>
                </c:pt>
                <c:pt idx="261">
                  <c:v>-10.706982866666841</c:v>
                </c:pt>
                <c:pt idx="262">
                  <c:v>-10.578944324982949</c:v>
                </c:pt>
                <c:pt idx="263">
                  <c:v>-10.451339368525311</c:v>
                </c:pt>
                <c:pt idx="264">
                  <c:v>-10.323902171724729</c:v>
                </c:pt>
                <c:pt idx="265">
                  <c:v>-10.196353642058016</c:v>
                </c:pt>
                <c:pt idx="266">
                  <c:v>-10.068399705881783</c:v>
                </c:pt>
                <c:pt idx="267">
                  <c:v>-9.9397294680439447</c:v>
                </c:pt>
                <c:pt idx="268">
                  <c:v>-9.8100132397400888</c:v>
                </c:pt>
                <c:pt idx="269">
                  <c:v>-9.6789004314981177</c:v>
                </c:pt>
                <c:pt idx="270">
                  <c:v>-9.5460173116811653</c:v>
                </c:pt>
                <c:pt idx="271">
                  <c:v>-9.4109646358308208</c:v>
                </c:pt>
                <c:pt idx="272">
                  <c:v>-9.2733151589469198</c:v>
                </c:pt>
                <c:pt idx="273">
                  <c:v>-9.1326110519302528</c:v>
                </c:pt>
                <c:pt idx="274">
                  <c:v>-8.988361255521788</c:v>
                </c:pt>
                <c:pt idx="275">
                  <c:v>-8.840038820895991</c:v>
                </c:pt>
                <c:pt idx="276">
                  <c:v>-8.6870783064636186</c:v>
                </c:pt>
                <c:pt idx="277">
                  <c:v>-8.52887332637318</c:v>
                </c:pt>
                <c:pt idx="278">
                  <c:v>-8.3647743786994511</c:v>
                </c:pt>
                <c:pt idx="279">
                  <c:v>-8.1940871213934958</c:v>
                </c:pt>
                <c:pt idx="280">
                  <c:v>-8.0160713126247956</c:v>
                </c:pt>
                <c:pt idx="281">
                  <c:v>-7.8299406897063655</c:v>
                </c:pt>
                <c:pt idx="282">
                  <c:v>-7.6348641272252662</c:v>
                </c:pt>
                <c:pt idx="283">
                  <c:v>-7.4299684890450308</c:v>
                </c:pt>
                <c:pt idx="284">
                  <c:v>-7.2143436674981949</c:v>
                </c:pt>
                <c:pt idx="285">
                  <c:v>-6.9870503807939137</c:v>
                </c:pt>
                <c:pt idx="286">
                  <c:v>-6.7471313673813356</c:v>
                </c:pt>
                <c:pt idx="287">
                  <c:v>-6.4936266601893005</c:v>
                </c:pt>
                <c:pt idx="288">
                  <c:v>-6.2255936254082229</c:v>
                </c:pt>
                <c:pt idx="289">
                  <c:v>-5.9421323851898968</c:v>
                </c:pt>
                <c:pt idx="290">
                  <c:v>-5.6424170817232664</c:v>
                </c:pt>
                <c:pt idx="291">
                  <c:v>-5.3257331495276947</c:v>
                </c:pt>
                <c:pt idx="292">
                  <c:v>-4.9915203140790174</c:v>
                </c:pt>
                <c:pt idx="293">
                  <c:v>-4.6394204097383049</c:v>
                </c:pt>
                <c:pt idx="294">
                  <c:v>-4.2693283129683621</c:v>
                </c:pt>
                <c:pt idx="295">
                  <c:v>-3.8814433593929127</c:v>
                </c:pt>
                <c:pt idx="296">
                  <c:v>-3.4763176464917875</c:v>
                </c:pt>
                <c:pt idx="297">
                  <c:v>-3.0548967649480248</c:v>
                </c:pt>
                <c:pt idx="298">
                  <c:v>-2.6185479474158937</c:v>
                </c:pt>
                <c:pt idx="299">
                  <c:v>-2.1690705926145375</c:v>
                </c:pt>
                <c:pt idx="300">
                  <c:v>-1.7086848072155969</c:v>
                </c:pt>
                <c:pt idx="301">
                  <c:v>-1.2399951082350926</c:v>
                </c:pt>
                <c:pt idx="302">
                  <c:v>-0.76592868939959602</c:v>
                </c:pt>
                <c:pt idx="303">
                  <c:v>-0.2896504290881125</c:v>
                </c:pt>
                <c:pt idx="304">
                  <c:v>0.18554031868933674</c:v>
                </c:pt>
                <c:pt idx="305">
                  <c:v>0.65632367677969272</c:v>
                </c:pt>
                <c:pt idx="306">
                  <c:v>1.1194749587897683</c:v>
                </c:pt>
                <c:pt idx="307">
                  <c:v>1.5719729011676824</c:v>
                </c:pt>
                <c:pt idx="308">
                  <c:v>2.0110922150340809</c:v>
                </c:pt>
                <c:pt idx="309">
                  <c:v>2.4344743851036705</c:v>
                </c:pt>
                <c:pt idx="310">
                  <c:v>2.8401734094171354</c:v>
                </c:pt>
                <c:pt idx="311">
                  <c:v>3.2266760524708715</c:v>
                </c:pt>
                <c:pt idx="312">
                  <c:v>3.5928986979700199</c:v>
                </c:pt>
                <c:pt idx="313">
                  <c:v>3.9381647109215638</c:v>
                </c:pt>
                <c:pt idx="314">
                  <c:v>4.2621672213882311</c:v>
                </c:pt>
                <c:pt idx="315">
                  <c:v>4.5649224693550901</c:v>
                </c:pt>
                <c:pt idx="316">
                  <c:v>4.8467184670178183</c:v>
                </c:pt>
                <c:pt idx="317">
                  <c:v>5.1080629586890893</c:v>
                </c:pt>
                <c:pt idx="318">
                  <c:v>5.3496337014266615</c:v>
                </c:pt>
                <c:pt idx="319">
                  <c:v>5.5722331217411787</c:v>
                </c:pt>
                <c:pt idx="320">
                  <c:v>5.7767485395273175</c:v>
                </c:pt>
                <c:pt idx="321">
                  <c:v>5.9641184497506332</c:v>
                </c:pt>
                <c:pt idx="322">
                  <c:v>6.1353048326588766</c:v>
                </c:pt>
                <c:pt idx="323">
                  <c:v>6.2912711130238295</c:v>
                </c:pt>
                <c:pt idx="324">
                  <c:v>6.4329651812910766</c:v>
                </c:pt>
                <c:pt idx="325">
                  <c:v>6.5613067920905239</c:v>
                </c:pt>
                <c:pt idx="326">
                  <c:v>6.6771786368172226</c:v>
                </c:pt>
                <c:pt idx="327">
                  <c:v>6.7814204198014343</c:v>
                </c:pt>
                <c:pt idx="328">
                  <c:v>6.8748253305368818</c:v>
                </c:pt>
                <c:pt idx="329">
                  <c:v>6.9581383818057798</c:v>
                </c:pt>
                <c:pt idx="330">
                  <c:v>7.0320561645612578</c:v>
                </c:pt>
                <c:pt idx="331">
                  <c:v>7.097227648285898</c:v>
                </c:pt>
                <c:pt idx="332">
                  <c:v>7.1542557263633508</c:v>
                </c:pt>
                <c:pt idx="333">
                  <c:v>7.2036992679635308</c:v>
                </c:pt>
                <c:pt idx="334">
                  <c:v>7.2460754905911005</c:v>
                </c:pt>
                <c:pt idx="335">
                  <c:v>7.281862511151445</c:v>
                </c:pt>
                <c:pt idx="336">
                  <c:v>7.3115019689717577</c:v>
                </c:pt>
                <c:pt idx="337">
                  <c:v>7.3354016427048281</c:v>
                </c:pt>
                <c:pt idx="338">
                  <c:v>7.3539380055107202</c:v>
                </c:pt>
                <c:pt idx="339">
                  <c:v>7.367458680378097</c:v>
                </c:pt>
                <c:pt idx="340">
                  <c:v>7.3762847708336841</c:v>
                </c:pt>
                <c:pt idx="341">
                  <c:v>7.3807130523969198</c:v>
                </c:pt>
                <c:pt idx="342">
                  <c:v>7.3810180176448421</c:v>
                </c:pt>
                <c:pt idx="343">
                  <c:v>7.3774537732221406</c:v>
                </c:pt>
                <c:pt idx="344">
                  <c:v>7.3702557910212851</c:v>
                </c:pt>
                <c:pt idx="345">
                  <c:v>7.3596425184363099</c:v>
                </c:pt>
                <c:pt idx="346">
                  <c:v>7.3458168543545739</c:v>
                </c:pt>
                <c:pt idx="347">
                  <c:v>7.3289674986242721</c:v>
                </c:pt>
                <c:pt idx="348">
                  <c:v>7.3092701833017735</c:v>
                </c:pt>
                <c:pt idx="349">
                  <c:v>7.2868887941809417</c:v>
                </c:pt>
                <c:pt idx="350">
                  <c:v>7.2619763910434099</c:v>
                </c:pt>
                <c:pt idx="351">
                  <c:v>7.2346761348251087</c:v>
                </c:pt>
                <c:pt idx="352">
                  <c:v>7.2051221295311727</c:v>
                </c:pt>
                <c:pt idx="353">
                  <c:v>7.1734401862942807</c:v>
                </c:pt>
                <c:pt idx="354">
                  <c:v>7.1397485164935182</c:v>
                </c:pt>
                <c:pt idx="355">
                  <c:v>7.1041583603562959</c:v>
                </c:pt>
                <c:pt idx="356">
                  <c:v>7.0667745569720966</c:v>
                </c:pt>
                <c:pt idx="357">
                  <c:v>7.0276960611649937</c:v>
                </c:pt>
                <c:pt idx="358">
                  <c:v>6.9870164122107425</c:v>
                </c:pt>
                <c:pt idx="359">
                  <c:v>6.9448241589479416</c:v>
                </c:pt>
                <c:pt idx="360">
                  <c:v>6.9012032454245844</c:v>
                </c:pt>
                <c:pt idx="361">
                  <c:v>6.8562333608422117</c:v>
                </c:pt>
                <c:pt idx="362">
                  <c:v>6.8099902572101509</c:v>
                </c:pt>
                <c:pt idx="363">
                  <c:v>6.762546037801016</c:v>
                </c:pt>
                <c:pt idx="364">
                  <c:v>6.713969419205112</c:v>
                </c:pt>
                <c:pt idx="365">
                  <c:v>6.6643259695135866</c:v>
                </c:pt>
                <c:pt idx="366">
                  <c:v>6.6136783249168136</c:v>
                </c:pt>
                <c:pt idx="367">
                  <c:v>6.5620863867837329</c:v>
                </c:pt>
                <c:pt idx="368">
                  <c:v>6.5096075010879471</c:v>
                </c:pt>
                <c:pt idx="369">
                  <c:v>6.4562966218654827</c:v>
                </c:pt>
                <c:pt idx="370">
                  <c:v>6.4022064602258126</c:v>
                </c:pt>
                <c:pt idx="371">
                  <c:v>6.3473876202901636</c:v>
                </c:pt>
                <c:pt idx="372">
                  <c:v>6.2918887232981628</c:v>
                </c:pt>
                <c:pt idx="373">
                  <c:v>6.2357565210037844</c:v>
                </c:pt>
                <c:pt idx="374">
                  <c:v>6.1790359993733741</c:v>
                </c:pt>
                <c:pt idx="375">
                  <c:v>6.1217704735010479</c:v>
                </c:pt>
                <c:pt idx="376">
                  <c:v>6.0640016745687184</c:v>
                </c:pt>
                <c:pt idx="377">
                  <c:v>6.0057698295988606</c:v>
                </c:pt>
                <c:pt idx="378">
                  <c:v>5.9471137346765062</c:v>
                </c:pt>
                <c:pt idx="379">
                  <c:v>5.8880708222525904</c:v>
                </c:pt>
                <c:pt idx="380">
                  <c:v>5.8286772230825781</c:v>
                </c:pt>
                <c:pt idx="381">
                  <c:v>5.768967823301784</c:v>
                </c:pt>
                <c:pt idx="382">
                  <c:v>5.7089763170914321</c:v>
                </c:pt>
                <c:pt idx="383">
                  <c:v>5.6487352553467423</c:v>
                </c:pt>
                <c:pt idx="384">
                  <c:v>5.5882760907195195</c:v>
                </c:pt>
                <c:pt idx="385">
                  <c:v>5.5276292193729439</c:v>
                </c:pt>
                <c:pt idx="386">
                  <c:v>5.4668240197545419</c:v>
                </c:pt>
                <c:pt idx="387">
                  <c:v>5.4058888886646255</c:v>
                </c:pt>
                <c:pt idx="388">
                  <c:v>5.3448512748717834</c:v>
                </c:pt>
                <c:pt idx="389">
                  <c:v>5.2837377105033738</c:v>
                </c:pt>
                <c:pt idx="390">
                  <c:v>5.2225738404178044</c:v>
                </c:pt>
                <c:pt idx="391">
                  <c:v>5.161384449746012</c:v>
                </c:pt>
                <c:pt idx="392">
                  <c:v>5.1001934897722574</c:v>
                </c:pt>
                <c:pt idx="393">
                  <c:v>5.0390241023082272</c:v>
                </c:pt>
                <c:pt idx="394">
                  <c:v>4.9778986427003042</c:v>
                </c:pt>
                <c:pt idx="395">
                  <c:v>4.9168387015965358</c:v>
                </c:pt>
                <c:pt idx="396">
                  <c:v>4.8558651255881697</c:v>
                </c:pt>
                <c:pt idx="397">
                  <c:v>4.7949980368296599</c:v>
                </c:pt>
                <c:pt idx="398">
                  <c:v>4.7342568517313479</c:v>
                </c:pt>
                <c:pt idx="399">
                  <c:v>4.6736602988099492</c:v>
                </c:pt>
                <c:pt idx="400">
                  <c:v>4.6132264357740835</c:v>
                </c:pt>
                <c:pt idx="401">
                  <c:v>4.552972665914421</c:v>
                </c:pt>
                <c:pt idx="402">
                  <c:v>4.492915753861574</c:v>
                </c:pt>
                <c:pt idx="403">
                  <c:v>4.4330718407684477</c:v>
                </c:pt>
                <c:pt idx="404">
                  <c:v>4.3734564589685538</c:v>
                </c:pt>
                <c:pt idx="405">
                  <c:v>4.3140845461563648</c:v>
                </c:pt>
                <c:pt idx="406">
                  <c:v>4.2549704591314228</c:v>
                </c:pt>
                <c:pt idx="407">
                  <c:v>4.1961279871436599</c:v>
                </c:pt>
                <c:pt idx="408">
                  <c:v>4.1375703648735032</c:v>
                </c:pt>
                <c:pt idx="409">
                  <c:v>4.079310285076982</c:v>
                </c:pt>
                <c:pt idx="410">
                  <c:v>4.0213599109228051</c:v>
                </c:pt>
                <c:pt idx="411">
                  <c:v>3.9637308880455802</c:v>
                </c:pt>
                <c:pt idx="412">
                  <c:v>3.906434356336697</c:v>
                </c:pt>
                <c:pt idx="413">
                  <c:v>3.8494809614920875</c:v>
                </c:pt>
                <c:pt idx="414">
                  <c:v>3.7928808663338609</c:v>
                </c:pt>
                <c:pt idx="415">
                  <c:v>3.7366437619209343</c:v>
                </c:pt>
                <c:pt idx="416">
                  <c:v>3.6807788784620312</c:v>
                </c:pt>
                <c:pt idx="417">
                  <c:v>3.6252949960427605</c:v>
                </c:pt>
                <c:pt idx="418">
                  <c:v>3.5702004551770932</c:v>
                </c:pt>
                <c:pt idx="419">
                  <c:v>3.5155031671923371</c:v>
                </c:pt>
                <c:pt idx="420">
                  <c:v>3.4612106244553367</c:v>
                </c:pt>
                <c:pt idx="421">
                  <c:v>3.4073299104468768</c:v>
                </c:pt>
                <c:pt idx="422">
                  <c:v>3.3538677096899745</c:v>
                </c:pt>
                <c:pt idx="423">
                  <c:v>3.3008303175372919</c:v>
                </c:pt>
                <c:pt idx="424">
                  <c:v>3.2482236498217416</c:v>
                </c:pt>
                <c:pt idx="425">
                  <c:v>3.1960532523740675</c:v>
                </c:pt>
                <c:pt idx="426">
                  <c:v>3.1443243104102905</c:v>
                </c:pt>
                <c:pt idx="427">
                  <c:v>3.09304165779157</c:v>
                </c:pt>
                <c:pt idx="428">
                  <c:v>3.0422097861584874</c:v>
                </c:pt>
                <c:pt idx="429">
                  <c:v>2.9918328539413324</c:v>
                </c:pt>
                <c:pt idx="430">
                  <c:v>2.941914695247716</c:v>
                </c:pt>
                <c:pt idx="431">
                  <c:v>2.8924588286284019</c:v>
                </c:pt>
                <c:pt idx="432">
                  <c:v>2.8434684657220757</c:v>
                </c:pt>
                <c:pt idx="433">
                  <c:v>2.7949465197794892</c:v>
                </c:pt>
                <c:pt idx="434">
                  <c:v>2.7468956140672827</c:v>
                </c:pt>
                <c:pt idx="435">
                  <c:v>2.6993180901515519</c:v>
                </c:pt>
                <c:pt idx="436">
                  <c:v>2.6522160160611836</c:v>
                </c:pt>
                <c:pt idx="437">
                  <c:v>2.6055911943307928</c:v>
                </c:pt>
                <c:pt idx="438">
                  <c:v>2.5594451699231247</c:v>
                </c:pt>
                <c:pt idx="439">
                  <c:v>2.5137792380305672</c:v>
                </c:pt>
                <c:pt idx="440">
                  <c:v>2.4685944517555489</c:v>
                </c:pt>
                <c:pt idx="441">
                  <c:v>2.4238916296694493</c:v>
                </c:pt>
                <c:pt idx="442">
                  <c:v>2.3796713632497495</c:v>
                </c:pt>
                <c:pt idx="443">
                  <c:v>2.3359340241949615</c:v>
                </c:pt>
                <c:pt idx="444">
                  <c:v>2.2926797716172054</c:v>
                </c:pt>
                <c:pt idx="445">
                  <c:v>2.249908559111943</c:v>
                </c:pt>
                <c:pt idx="446">
                  <c:v>2.2076201417047994</c:v>
                </c:pt>
                <c:pt idx="447">
                  <c:v>2.1658140826751291</c:v>
                </c:pt>
                <c:pt idx="448">
                  <c:v>2.124489760256222</c:v>
                </c:pt>
                <c:pt idx="449">
                  <c:v>2.0836463742120417</c:v>
                </c:pt>
                <c:pt idx="450">
                  <c:v>2.0432829522904026</c:v>
                </c:pt>
                <c:pt idx="451">
                  <c:v>2.0033983565526752</c:v>
                </c:pt>
                <c:pt idx="452">
                  <c:v>1.9639912895800382</c:v>
                </c:pt>
                <c:pt idx="453">
                  <c:v>1.92506030055642</c:v>
                </c:pt>
                <c:pt idx="454">
                  <c:v>1.8866037912283868</c:v>
                </c:pt>
                <c:pt idx="455">
                  <c:v>1.8486200217422954</c:v>
                </c:pt>
                <c:pt idx="456">
                  <c:v>1.8111071163589436</c:v>
                </c:pt>
                <c:pt idx="457">
                  <c:v>1.774063069046254</c:v>
                </c:pt>
                <c:pt idx="458">
                  <c:v>1.7374857489505349</c:v>
                </c:pt>
                <c:pt idx="459">
                  <c:v>1.701372905746716</c:v>
                </c:pt>
                <c:pt idx="460">
                  <c:v>1.6657221748683977</c:v>
                </c:pt>
                <c:pt idx="461">
                  <c:v>1.6305310826182939</c:v>
                </c:pt>
                <c:pt idx="462">
                  <c:v>1.5957970511598969</c:v>
                </c:pt>
                <c:pt idx="463">
                  <c:v>1.5615174033911945</c:v>
                </c:pt>
                <c:pt idx="464">
                  <c:v>1.5276893677013614</c:v>
                </c:pt>
                <c:pt idx="465">
                  <c:v>1.4943100826113156</c:v>
                </c:pt>
                <c:pt idx="466">
                  <c:v>1.4613766012993246</c:v>
                </c:pt>
                <c:pt idx="467">
                  <c:v>1.4288858960125399</c:v>
                </c:pt>
                <c:pt idx="468">
                  <c:v>1.3968348623657398</c:v>
                </c:pt>
                <c:pt idx="469">
                  <c:v>1.36522032352838</c:v>
                </c:pt>
                <c:pt idx="470">
                  <c:v>1.3340390343012807</c:v>
                </c:pt>
                <c:pt idx="471">
                  <c:v>1.3032876850841024</c:v>
                </c:pt>
                <c:pt idx="472">
                  <c:v>1.2729629057350103</c:v>
                </c:pt>
                <c:pt idx="473">
                  <c:v>1.2430612693239009</c:v>
                </c:pt>
                <c:pt idx="474">
                  <c:v>1.2135792957805407</c:v>
                </c:pt>
                <c:pt idx="475">
                  <c:v>1.1845134554390633</c:v>
                </c:pt>
                <c:pt idx="476">
                  <c:v>1.1558601724803186</c:v>
                </c:pt>
                <c:pt idx="477">
                  <c:v>1.1276158282735249</c:v>
                </c:pt>
                <c:pt idx="478">
                  <c:v>1.0997767646188308</c:v>
                </c:pt>
                <c:pt idx="479">
                  <c:v>1.0723392868921593</c:v>
                </c:pt>
                <c:pt idx="480">
                  <c:v>1.0452996670941772</c:v>
                </c:pt>
                <c:pt idx="481">
                  <c:v>1.0186541468046446</c:v>
                </c:pt>
                <c:pt idx="482">
                  <c:v>0.99239894004407958</c:v>
                </c:pt>
                <c:pt idx="483">
                  <c:v>0.96653023604411104</c:v>
                </c:pt>
                <c:pt idx="484">
                  <c:v>0.94104420192824101</c:v>
                </c:pt>
                <c:pt idx="485">
                  <c:v>0.91593698530473411</c:v>
                </c:pt>
                <c:pt idx="486">
                  <c:v>0.89120471677312629</c:v>
                </c:pt>
                <c:pt idx="487">
                  <c:v>0.8668435123461613</c:v>
                </c:pt>
                <c:pt idx="488">
                  <c:v>0.84284947578870906</c:v>
                </c:pt>
                <c:pt idx="489">
                  <c:v>0.8192187008753784</c:v>
                </c:pt>
                <c:pt idx="490">
                  <c:v>0.79594727356851713</c:v>
                </c:pt>
                <c:pt idx="491">
                  <c:v>0.7730312741181482</c:v>
                </c:pt>
                <c:pt idx="492">
                  <c:v>0.75046677908564341</c:v>
                </c:pt>
                <c:pt idx="493">
                  <c:v>0.72824986329269237</c:v>
                </c:pt>
                <c:pt idx="494">
                  <c:v>0.70637660169725258</c:v>
                </c:pt>
                <c:pt idx="495">
                  <c:v>0.68484307119808641</c:v>
                </c:pt>
                <c:pt idx="496">
                  <c:v>0.66364535236956712</c:v>
                </c:pt>
                <c:pt idx="497">
                  <c:v>0.64277953112835107</c:v>
                </c:pt>
                <c:pt idx="498">
                  <c:v>0.62224170033348969</c:v>
                </c:pt>
                <c:pt idx="499">
                  <c:v>0.60202796132165481</c:v>
                </c:pt>
                <c:pt idx="500">
                  <c:v>0.58213442537897286</c:v>
                </c:pt>
                <c:pt idx="501">
                  <c:v>0.56255721515112711</c:v>
                </c:pt>
                <c:pt idx="502">
                  <c:v>0.54329246599314018</c:v>
                </c:pt>
                <c:pt idx="503">
                  <c:v>0.52433632726060431</c:v>
                </c:pt>
                <c:pt idx="504">
                  <c:v>0.50568496354360626</c:v>
                </c:pt>
                <c:pt idx="505">
                  <c:v>0.48733455584503282</c:v>
                </c:pt>
                <c:pt idx="506">
                  <c:v>0.46928130270468316</c:v>
                </c:pt>
                <c:pt idx="507">
                  <c:v>0.45152142127064465</c:v>
                </c:pt>
                <c:pt idx="508">
                  <c:v>0.4340511483193481</c:v>
                </c:pt>
                <c:pt idx="509">
                  <c:v>0.41686674122580847</c:v>
                </c:pt>
                <c:pt idx="510">
                  <c:v>0.39996447888531605</c:v>
                </c:pt>
                <c:pt idx="511">
                  <c:v>0.3833406625881004</c:v>
                </c:pt>
                <c:pt idx="512">
                  <c:v>0.36699161684821568</c:v>
                </c:pt>
                <c:pt idx="513">
                  <c:v>0.35091369018802965</c:v>
                </c:pt>
                <c:pt idx="514">
                  <c:v>0.33510325587962697</c:v>
                </c:pt>
                <c:pt idx="515">
                  <c:v>0.31955671264437591</c:v>
                </c:pt>
                <c:pt idx="516">
                  <c:v>0.31954144379021088</c:v>
                </c:pt>
                <c:pt idx="517">
                  <c:v>0.3195261751916032</c:v>
                </c:pt>
                <c:pt idx="518">
                  <c:v>0.3195109068485511</c:v>
                </c:pt>
                <c:pt idx="519">
                  <c:v>0.31949563876104392</c:v>
                </c:pt>
                <c:pt idx="520">
                  <c:v>0.31948037092907988</c:v>
                </c:pt>
                <c:pt idx="521">
                  <c:v>0.31946510335265899</c:v>
                </c:pt>
                <c:pt idx="522">
                  <c:v>0.31944983603177768</c:v>
                </c:pt>
                <c:pt idx="523">
                  <c:v>0.31943456896643063</c:v>
                </c:pt>
                <c:pt idx="524">
                  <c:v>0.31941930215661429</c:v>
                </c:pt>
                <c:pt idx="525">
                  <c:v>0.31940403560232333</c:v>
                </c:pt>
                <c:pt idx="526">
                  <c:v>0.3193887693035613</c:v>
                </c:pt>
                <c:pt idx="527">
                  <c:v>0.31937350326031755</c:v>
                </c:pt>
                <c:pt idx="528">
                  <c:v>0.31935823747259029</c:v>
                </c:pt>
                <c:pt idx="529">
                  <c:v>0.31934297194037775</c:v>
                </c:pt>
                <c:pt idx="530">
                  <c:v>0.31932770666367283</c:v>
                </c:pt>
                <c:pt idx="531">
                  <c:v>0.31931244164247374</c:v>
                </c:pt>
                <c:pt idx="532">
                  <c:v>0.31929717687678405</c:v>
                </c:pt>
                <c:pt idx="533">
                  <c:v>0.31928191236659309</c:v>
                </c:pt>
                <c:pt idx="534">
                  <c:v>0.31926664811189731</c:v>
                </c:pt>
                <c:pt idx="535">
                  <c:v>0.31925138411269316</c:v>
                </c:pt>
                <c:pt idx="536">
                  <c:v>0.31923612036897531</c:v>
                </c:pt>
                <c:pt idx="537">
                  <c:v>0.31922085688074908</c:v>
                </c:pt>
                <c:pt idx="538">
                  <c:v>0.31920559364800738</c:v>
                </c:pt>
                <c:pt idx="539">
                  <c:v>0.31919033067073244</c:v>
                </c:pt>
                <c:pt idx="540">
                  <c:v>0.31917506794894912</c:v>
                </c:pt>
                <c:pt idx="541">
                  <c:v>0.31915980548262901</c:v>
                </c:pt>
                <c:pt idx="542">
                  <c:v>0.31914454327177744</c:v>
                </c:pt>
                <c:pt idx="543">
                  <c:v>0.31912928131639084</c:v>
                </c:pt>
                <c:pt idx="544">
                  <c:v>0.31911401961646924</c:v>
                </c:pt>
                <c:pt idx="545">
                  <c:v>0.31909875817200728</c:v>
                </c:pt>
                <c:pt idx="546">
                  <c:v>0.3190834969829961</c:v>
                </c:pt>
                <c:pt idx="547">
                  <c:v>0.31906823604943568</c:v>
                </c:pt>
                <c:pt idx="548">
                  <c:v>0.31905297537132427</c:v>
                </c:pt>
                <c:pt idx="549">
                  <c:v>0.31903771494866007</c:v>
                </c:pt>
                <c:pt idx="550">
                  <c:v>0.31902245478143243</c:v>
                </c:pt>
                <c:pt idx="551">
                  <c:v>0.31900719486964135</c:v>
                </c:pt>
                <c:pt idx="552">
                  <c:v>0.31899193521329039</c:v>
                </c:pt>
                <c:pt idx="553">
                  <c:v>0.31897667581236533</c:v>
                </c:pt>
                <c:pt idx="554">
                  <c:v>0.31896141666686439</c:v>
                </c:pt>
                <c:pt idx="555">
                  <c:v>0.31894615777679114</c:v>
                </c:pt>
                <c:pt idx="556">
                  <c:v>0.31893089914213668</c:v>
                </c:pt>
                <c:pt idx="557">
                  <c:v>0.31891564076289747</c:v>
                </c:pt>
                <c:pt idx="558">
                  <c:v>0.31890038263907527</c:v>
                </c:pt>
                <c:pt idx="559">
                  <c:v>0.31888512477066122</c:v>
                </c:pt>
                <c:pt idx="560">
                  <c:v>0.31886986715765531</c:v>
                </c:pt>
                <c:pt idx="561">
                  <c:v>0.3188546098000451</c:v>
                </c:pt>
                <c:pt idx="562">
                  <c:v>0.31883935269784303</c:v>
                </c:pt>
                <c:pt idx="563">
                  <c:v>0.31882409585102955</c:v>
                </c:pt>
                <c:pt idx="564">
                  <c:v>0.31880883925961179</c:v>
                </c:pt>
                <c:pt idx="565">
                  <c:v>0.31879358292358617</c:v>
                </c:pt>
                <c:pt idx="566">
                  <c:v>0.3187783268429385</c:v>
                </c:pt>
                <c:pt idx="567">
                  <c:v>0.31876307101767942</c:v>
                </c:pt>
                <c:pt idx="568">
                  <c:v>0.31874781544779474</c:v>
                </c:pt>
                <c:pt idx="569">
                  <c:v>0.31873256013329154</c:v>
                </c:pt>
                <c:pt idx="570">
                  <c:v>0.31871730507415208</c:v>
                </c:pt>
                <c:pt idx="571">
                  <c:v>0.31870205027038168</c:v>
                </c:pt>
                <c:pt idx="572">
                  <c:v>0.31868679572198211</c:v>
                </c:pt>
                <c:pt idx="573">
                  <c:v>0.31867154142893561</c:v>
                </c:pt>
                <c:pt idx="574">
                  <c:v>0.31865628739125285</c:v>
                </c:pt>
                <c:pt idx="575">
                  <c:v>0.31864103360892493</c:v>
                </c:pt>
                <c:pt idx="576">
                  <c:v>0.31862578008194298</c:v>
                </c:pt>
                <c:pt idx="577">
                  <c:v>0.31861052681030699</c:v>
                </c:pt>
                <c:pt idx="578">
                  <c:v>0.31859527379401698</c:v>
                </c:pt>
                <c:pt idx="579">
                  <c:v>0.31858002103307115</c:v>
                </c:pt>
                <c:pt idx="580">
                  <c:v>0.31856476852746241</c:v>
                </c:pt>
                <c:pt idx="581">
                  <c:v>0.31854951627718719</c:v>
                </c:pt>
                <c:pt idx="582">
                  <c:v>0.31853426428223486</c:v>
                </c:pt>
                <c:pt idx="583">
                  <c:v>0.3185190125426125</c:v>
                </c:pt>
                <c:pt idx="584">
                  <c:v>0.31850376105831835</c:v>
                </c:pt>
                <c:pt idx="585">
                  <c:v>0.31848850982933463</c:v>
                </c:pt>
                <c:pt idx="586">
                  <c:v>0.31847325885567201</c:v>
                </c:pt>
                <c:pt idx="587">
                  <c:v>0.31845800813731984</c:v>
                </c:pt>
                <c:pt idx="588">
                  <c:v>0.31844275767428165</c:v>
                </c:pt>
                <c:pt idx="589">
                  <c:v>0.3184275074665468</c:v>
                </c:pt>
                <c:pt idx="590">
                  <c:v>0.31841225751411173</c:v>
                </c:pt>
                <c:pt idx="591">
                  <c:v>0.31839700781697822</c:v>
                </c:pt>
                <c:pt idx="592">
                  <c:v>0.31838175837513383</c:v>
                </c:pt>
                <c:pt idx="593">
                  <c:v>0.31836650918859455</c:v>
                </c:pt>
                <c:pt idx="594">
                  <c:v>0.31835126025733551</c:v>
                </c:pt>
                <c:pt idx="595">
                  <c:v>0.3183360115813656</c:v>
                </c:pt>
                <c:pt idx="596">
                  <c:v>0.31832076316066882</c:v>
                </c:pt>
                <c:pt idx="597">
                  <c:v>0.31830551499525761</c:v>
                </c:pt>
                <c:pt idx="598">
                  <c:v>0.31829026708511599</c:v>
                </c:pt>
                <c:pt idx="599">
                  <c:v>0.31827501943024572</c:v>
                </c:pt>
                <c:pt idx="600">
                  <c:v>0.31825977203064504</c:v>
                </c:pt>
                <c:pt idx="601">
                  <c:v>0.31824452488630328</c:v>
                </c:pt>
                <c:pt idx="602">
                  <c:v>0.318229277997224</c:v>
                </c:pt>
                <c:pt idx="603">
                  <c:v>0.3182140313634072</c:v>
                </c:pt>
                <c:pt idx="604">
                  <c:v>0.31819878498484044</c:v>
                </c:pt>
                <c:pt idx="605">
                  <c:v>0.31818353886152906</c:v>
                </c:pt>
                <c:pt idx="606">
                  <c:v>0.31816829299345528</c:v>
                </c:pt>
                <c:pt idx="607">
                  <c:v>0.31815304738062977</c:v>
                </c:pt>
                <c:pt idx="608">
                  <c:v>0.31813780202304365</c:v>
                </c:pt>
                <c:pt idx="609">
                  <c:v>0.31812255692069513</c:v>
                </c:pt>
                <c:pt idx="610">
                  <c:v>0.31810731207357357</c:v>
                </c:pt>
                <c:pt idx="611">
                  <c:v>0.31809206748168783</c:v>
                </c:pt>
                <c:pt idx="612">
                  <c:v>0.31807682314502905</c:v>
                </c:pt>
                <c:pt idx="613">
                  <c:v>0.31806157906358656</c:v>
                </c:pt>
                <c:pt idx="614">
                  <c:v>0.31804633523736392</c:v>
                </c:pt>
                <c:pt idx="615">
                  <c:v>0.3180310916663629</c:v>
                </c:pt>
                <c:pt idx="616">
                  <c:v>0.31801584835056751</c:v>
                </c:pt>
                <c:pt idx="617">
                  <c:v>0.31800060528998841</c:v>
                </c:pt>
                <c:pt idx="618">
                  <c:v>0.31798536248460785</c:v>
                </c:pt>
                <c:pt idx="619">
                  <c:v>0.31797011993443647</c:v>
                </c:pt>
                <c:pt idx="620">
                  <c:v>0.31795487763945474</c:v>
                </c:pt>
                <c:pt idx="621">
                  <c:v>0.31793963559966976</c:v>
                </c:pt>
                <c:pt idx="622">
                  <c:v>0.31792439381507442</c:v>
                </c:pt>
                <c:pt idx="623">
                  <c:v>0.31790915228566874</c:v>
                </c:pt>
                <c:pt idx="624">
                  <c:v>0.31789391101145092</c:v>
                </c:pt>
                <c:pt idx="625">
                  <c:v>0.31787866999241032</c:v>
                </c:pt>
                <c:pt idx="626">
                  <c:v>0.31786342922855582</c:v>
                </c:pt>
                <c:pt idx="627">
                  <c:v>0.31784818871985898</c:v>
                </c:pt>
                <c:pt idx="628">
                  <c:v>0.31783294846634647</c:v>
                </c:pt>
                <c:pt idx="629">
                  <c:v>0.31781770846799695</c:v>
                </c:pt>
                <c:pt idx="630">
                  <c:v>0.31780246872480689</c:v>
                </c:pt>
                <c:pt idx="631">
                  <c:v>0.31778722923677805</c:v>
                </c:pt>
                <c:pt idx="632">
                  <c:v>0.31777199000390333</c:v>
                </c:pt>
                <c:pt idx="633">
                  <c:v>0.31775675102618806</c:v>
                </c:pt>
                <c:pt idx="634">
                  <c:v>0.31774151230362158</c:v>
                </c:pt>
                <c:pt idx="635">
                  <c:v>0.31772627383620033</c:v>
                </c:pt>
                <c:pt idx="636">
                  <c:v>0.31771103562392788</c:v>
                </c:pt>
                <c:pt idx="637">
                  <c:v>0.31769579766678291</c:v>
                </c:pt>
                <c:pt idx="638">
                  <c:v>0.31768055996477784</c:v>
                </c:pt>
                <c:pt idx="639">
                  <c:v>0.31766532251791446</c:v>
                </c:pt>
                <c:pt idx="640">
                  <c:v>0.31765008532616967</c:v>
                </c:pt>
                <c:pt idx="641">
                  <c:v>0.31763484838955236</c:v>
                </c:pt>
                <c:pt idx="642">
                  <c:v>0.31761961170805719</c:v>
                </c:pt>
                <c:pt idx="643">
                  <c:v>0.31760437528168062</c:v>
                </c:pt>
                <c:pt idx="644">
                  <c:v>0.31758913911041731</c:v>
                </c:pt>
                <c:pt idx="645">
                  <c:v>0.31757390319426726</c:v>
                </c:pt>
                <c:pt idx="646">
                  <c:v>0.31755866753323225</c:v>
                </c:pt>
                <c:pt idx="647">
                  <c:v>0.31754343212729275</c:v>
                </c:pt>
                <c:pt idx="648">
                  <c:v>0.3175281969764594</c:v>
                </c:pt>
                <c:pt idx="649">
                  <c:v>0.31751296208071977</c:v>
                </c:pt>
                <c:pt idx="650">
                  <c:v>0.31749772744007565</c:v>
                </c:pt>
                <c:pt idx="651">
                  <c:v>0.31748249305452525</c:v>
                </c:pt>
                <c:pt idx="652">
                  <c:v>0.31746725892405792</c:v>
                </c:pt>
                <c:pt idx="653">
                  <c:v>0.31745202504867542</c:v>
                </c:pt>
                <c:pt idx="654">
                  <c:v>0.31743679142837067</c:v>
                </c:pt>
                <c:pt idx="655">
                  <c:v>0.31742155806315075</c:v>
                </c:pt>
                <c:pt idx="656">
                  <c:v>0.31740632495299792</c:v>
                </c:pt>
                <c:pt idx="657">
                  <c:v>0.31739109209791927</c:v>
                </c:pt>
                <c:pt idx="658">
                  <c:v>0.31737585949790414</c:v>
                </c:pt>
                <c:pt idx="659">
                  <c:v>0.31736062715294899</c:v>
                </c:pt>
                <c:pt idx="660">
                  <c:v>0.31734539506306092</c:v>
                </c:pt>
                <c:pt idx="661">
                  <c:v>0.31733016322822039</c:v>
                </c:pt>
                <c:pt idx="662">
                  <c:v>0.31731493164843982</c:v>
                </c:pt>
                <c:pt idx="663">
                  <c:v>0.3172997003237068</c:v>
                </c:pt>
                <c:pt idx="664">
                  <c:v>0.31728446925402132</c:v>
                </c:pt>
                <c:pt idx="665">
                  <c:v>0.31726923843937271</c:v>
                </c:pt>
                <c:pt idx="666">
                  <c:v>0.31725400787976454</c:v>
                </c:pt>
                <c:pt idx="667">
                  <c:v>0.31723877757519681</c:v>
                </c:pt>
                <c:pt idx="668">
                  <c:v>0.31722354752565884</c:v>
                </c:pt>
                <c:pt idx="669">
                  <c:v>0.31720831773114</c:v>
                </c:pt>
                <c:pt idx="670">
                  <c:v>0.31719308819166159</c:v>
                </c:pt>
                <c:pt idx="671">
                  <c:v>0.31717785890719696</c:v>
                </c:pt>
                <c:pt idx="672">
                  <c:v>0.31716262987774968</c:v>
                </c:pt>
                <c:pt idx="673">
                  <c:v>0.31714740110332151</c:v>
                </c:pt>
                <c:pt idx="674">
                  <c:v>0.31713217258390003</c:v>
                </c:pt>
                <c:pt idx="675">
                  <c:v>0.317116944319487</c:v>
                </c:pt>
                <c:pt idx="676">
                  <c:v>0.31710171631007356</c:v>
                </c:pt>
                <c:pt idx="677">
                  <c:v>0.31708648855566857</c:v>
                </c:pt>
                <c:pt idx="678">
                  <c:v>0.31707126105625605</c:v>
                </c:pt>
                <c:pt idx="679">
                  <c:v>0.31705603381184311</c:v>
                </c:pt>
                <c:pt idx="680">
                  <c:v>0.31704080682241553</c:v>
                </c:pt>
                <c:pt idx="681">
                  <c:v>0.3170255800879751</c:v>
                </c:pt>
                <c:pt idx="682">
                  <c:v>0.31701035360852003</c:v>
                </c:pt>
                <c:pt idx="683">
                  <c:v>0.31699512738404323</c:v>
                </c:pt>
                <c:pt idx="684">
                  <c:v>0.31697990141454468</c:v>
                </c:pt>
                <c:pt idx="685">
                  <c:v>0.3169646757000173</c:v>
                </c:pt>
                <c:pt idx="686">
                  <c:v>0.31694945024046106</c:v>
                </c:pt>
                <c:pt idx="687">
                  <c:v>0.31693422503586888</c:v>
                </c:pt>
                <c:pt idx="688">
                  <c:v>0.31691900008624074</c:v>
                </c:pt>
                <c:pt idx="689">
                  <c:v>0.31690377539156955</c:v>
                </c:pt>
                <c:pt idx="690">
                  <c:v>0.31688855095185886</c:v>
                </c:pt>
                <c:pt idx="691">
                  <c:v>0.31687332676709445</c:v>
                </c:pt>
                <c:pt idx="692">
                  <c:v>0.31685810283728522</c:v>
                </c:pt>
                <c:pt idx="693">
                  <c:v>0.31684287916241516</c:v>
                </c:pt>
                <c:pt idx="694">
                  <c:v>0.31682765574249139</c:v>
                </c:pt>
                <c:pt idx="695">
                  <c:v>0.31681243257750147</c:v>
                </c:pt>
                <c:pt idx="696">
                  <c:v>0.31679720966744718</c:v>
                </c:pt>
                <c:pt idx="697">
                  <c:v>0.31678198701232851</c:v>
                </c:pt>
                <c:pt idx="698">
                  <c:v>0.3167667646121366</c:v>
                </c:pt>
                <c:pt idx="699">
                  <c:v>0.3167515424668661</c:v>
                </c:pt>
                <c:pt idx="700">
                  <c:v>0.31673632057651702</c:v>
                </c:pt>
                <c:pt idx="701">
                  <c:v>0.31672109894108935</c:v>
                </c:pt>
                <c:pt idx="702">
                  <c:v>0.31670587756057067</c:v>
                </c:pt>
                <c:pt idx="703">
                  <c:v>0.3166906564349663</c:v>
                </c:pt>
                <c:pt idx="704">
                  <c:v>0.31667543556427269</c:v>
                </c:pt>
                <c:pt idx="705">
                  <c:v>0.3166602149484774</c:v>
                </c:pt>
                <c:pt idx="706">
                  <c:v>0.31664499458758577</c:v>
                </c:pt>
                <c:pt idx="707">
                  <c:v>0.31662977448158713</c:v>
                </c:pt>
                <c:pt idx="708">
                  <c:v>0.31661455463048327</c:v>
                </c:pt>
                <c:pt idx="709">
                  <c:v>0.31659933503426352</c:v>
                </c:pt>
                <c:pt idx="710">
                  <c:v>0.31658411569294209</c:v>
                </c:pt>
                <c:pt idx="711">
                  <c:v>0.31656889660649234</c:v>
                </c:pt>
                <c:pt idx="712">
                  <c:v>0.31655367777492849</c:v>
                </c:pt>
                <c:pt idx="713">
                  <c:v>0.31653845919824164</c:v>
                </c:pt>
                <c:pt idx="714">
                  <c:v>0.31652324087642469</c:v>
                </c:pt>
                <c:pt idx="715">
                  <c:v>0.31650802280947588</c:v>
                </c:pt>
                <c:pt idx="716">
                  <c:v>0.31649280499739163</c:v>
                </c:pt>
                <c:pt idx="717">
                  <c:v>0.31647758744017196</c:v>
                </c:pt>
                <c:pt idx="718">
                  <c:v>0.31646237013781331</c:v>
                </c:pt>
                <c:pt idx="719">
                  <c:v>0.31644715309030502</c:v>
                </c:pt>
                <c:pt idx="720">
                  <c:v>0.31643193629765243</c:v>
                </c:pt>
                <c:pt idx="721">
                  <c:v>0.31641671975984309</c:v>
                </c:pt>
                <c:pt idx="722">
                  <c:v>0.31640150347688234</c:v>
                </c:pt>
                <c:pt idx="723">
                  <c:v>0.31638628744876307</c:v>
                </c:pt>
                <c:pt idx="724">
                  <c:v>0.31637107167548351</c:v>
                </c:pt>
                <c:pt idx="725">
                  <c:v>0.31635585615703654</c:v>
                </c:pt>
                <c:pt idx="726">
                  <c:v>0.31634064089341507</c:v>
                </c:pt>
                <c:pt idx="727">
                  <c:v>0.31632542588463153</c:v>
                </c:pt>
                <c:pt idx="728">
                  <c:v>0.31631021113066282</c:v>
                </c:pt>
                <c:pt idx="729">
                  <c:v>0.31629499663151606</c:v>
                </c:pt>
                <c:pt idx="730">
                  <c:v>0.31627978238718946</c:v>
                </c:pt>
                <c:pt idx="731">
                  <c:v>0.31626456839768124</c:v>
                </c:pt>
                <c:pt idx="732">
                  <c:v>0.31624935466297721</c:v>
                </c:pt>
                <c:pt idx="733">
                  <c:v>0.31623414118308268</c:v>
                </c:pt>
                <c:pt idx="734">
                  <c:v>0.31621892795798523</c:v>
                </c:pt>
                <c:pt idx="735">
                  <c:v>0.31620371498769195</c:v>
                </c:pt>
                <c:pt idx="736">
                  <c:v>0.31618850227219575</c:v>
                </c:pt>
                <c:pt idx="737">
                  <c:v>0.31617328981149484</c:v>
                </c:pt>
                <c:pt idx="738">
                  <c:v>0.31615807760557857</c:v>
                </c:pt>
                <c:pt idx="739">
                  <c:v>0.31614286565445049</c:v>
                </c:pt>
                <c:pt idx="740">
                  <c:v>0.31612765395810705</c:v>
                </c:pt>
                <c:pt idx="741">
                  <c:v>0.31611244251653936</c:v>
                </c:pt>
                <c:pt idx="742">
                  <c:v>0.31609723132974388</c:v>
                </c:pt>
                <c:pt idx="743">
                  <c:v>0.31608202039772948</c:v>
                </c:pt>
                <c:pt idx="744">
                  <c:v>0.3160668097204784</c:v>
                </c:pt>
                <c:pt idx="745">
                  <c:v>0.31605159929799242</c:v>
                </c:pt>
                <c:pt idx="746">
                  <c:v>0.31603638913027332</c:v>
                </c:pt>
                <c:pt idx="747">
                  <c:v>0.31602117921730688</c:v>
                </c:pt>
                <c:pt idx="748">
                  <c:v>0.31600596955909488</c:v>
                </c:pt>
                <c:pt idx="749">
                  <c:v>0.31599076015563732</c:v>
                </c:pt>
                <c:pt idx="750">
                  <c:v>0.31597555100692887</c:v>
                </c:pt>
                <c:pt idx="751">
                  <c:v>0.3159603421129642</c:v>
                </c:pt>
                <c:pt idx="752">
                  <c:v>0.31594513347373798</c:v>
                </c:pt>
                <c:pt idx="753">
                  <c:v>0.315929925089252</c:v>
                </c:pt>
                <c:pt idx="754">
                  <c:v>0.31591471695949735</c:v>
                </c:pt>
                <c:pt idx="755">
                  <c:v>0.31589950908447229</c:v>
                </c:pt>
                <c:pt idx="756">
                  <c:v>0.31588430146417679</c:v>
                </c:pt>
                <c:pt idx="757">
                  <c:v>0.31586909409860553</c:v>
                </c:pt>
                <c:pt idx="758">
                  <c:v>0.31585388698775141</c:v>
                </c:pt>
                <c:pt idx="759">
                  <c:v>0.31583868013161087</c:v>
                </c:pt>
                <c:pt idx="760">
                  <c:v>0.31582347353019102</c:v>
                </c:pt>
                <c:pt idx="761">
                  <c:v>0.31580826718348298</c:v>
                </c:pt>
                <c:pt idx="762">
                  <c:v>0.31579306109147609</c:v>
                </c:pt>
                <c:pt idx="763">
                  <c:v>0.31577785525417212</c:v>
                </c:pt>
                <c:pt idx="764">
                  <c:v>0.31576264967156575</c:v>
                </c:pt>
                <c:pt idx="765">
                  <c:v>0.31574744434366231</c:v>
                </c:pt>
                <c:pt idx="766">
                  <c:v>0.31573223927044403</c:v>
                </c:pt>
                <c:pt idx="767">
                  <c:v>0.31571703445191979</c:v>
                </c:pt>
                <c:pt idx="768">
                  <c:v>0.31570182988807538</c:v>
                </c:pt>
                <c:pt idx="769">
                  <c:v>0.31568662557891791</c:v>
                </c:pt>
                <c:pt idx="770">
                  <c:v>0.31567142152443495</c:v>
                </c:pt>
                <c:pt idx="771">
                  <c:v>0.31565621772463537</c:v>
                </c:pt>
                <c:pt idx="772">
                  <c:v>0.31564101417949963</c:v>
                </c:pt>
                <c:pt idx="773">
                  <c:v>0.31562581088902952</c:v>
                </c:pt>
                <c:pt idx="774">
                  <c:v>0.31561060785323569</c:v>
                </c:pt>
                <c:pt idx="775">
                  <c:v>0.31559540507209682</c:v>
                </c:pt>
                <c:pt idx="776">
                  <c:v>0.3155802025456147</c:v>
                </c:pt>
                <c:pt idx="777">
                  <c:v>0.31556500027378576</c:v>
                </c:pt>
                <c:pt idx="778">
                  <c:v>0.31554979825661178</c:v>
                </c:pt>
                <c:pt idx="779">
                  <c:v>0.31553459649408033</c:v>
                </c:pt>
                <c:pt idx="780">
                  <c:v>0.31551939498620207</c:v>
                </c:pt>
                <c:pt idx="781">
                  <c:v>0.31550419373296279</c:v>
                </c:pt>
                <c:pt idx="782">
                  <c:v>0.31548899273434827</c:v>
                </c:pt>
                <c:pt idx="783">
                  <c:v>0.31547379199037806</c:v>
                </c:pt>
                <c:pt idx="784">
                  <c:v>0.31545859150103439</c:v>
                </c:pt>
                <c:pt idx="785">
                  <c:v>0.31544339126632082</c:v>
                </c:pt>
                <c:pt idx="786">
                  <c:v>0.31542819128622668</c:v>
                </c:pt>
                <c:pt idx="787">
                  <c:v>0.31541299156075198</c:v>
                </c:pt>
                <c:pt idx="788">
                  <c:v>0.31539779208989671</c:v>
                </c:pt>
                <c:pt idx="789">
                  <c:v>0.315382592873652</c:v>
                </c:pt>
                <c:pt idx="790">
                  <c:v>0.3153673939120214</c:v>
                </c:pt>
                <c:pt idx="791">
                  <c:v>0.31535219520499247</c:v>
                </c:pt>
                <c:pt idx="792">
                  <c:v>0.31533699675256699</c:v>
                </c:pt>
                <c:pt idx="793">
                  <c:v>0.31532179855473963</c:v>
                </c:pt>
                <c:pt idx="794">
                  <c:v>0.31530660061150684</c:v>
                </c:pt>
                <c:pt idx="795">
                  <c:v>0.31529140292286506</c:v>
                </c:pt>
                <c:pt idx="796">
                  <c:v>0.3152762054888214</c:v>
                </c:pt>
                <c:pt idx="797">
                  <c:v>0.3152610083093581</c:v>
                </c:pt>
                <c:pt idx="798">
                  <c:v>0.31524581138447338</c:v>
                </c:pt>
                <c:pt idx="799">
                  <c:v>0.31523061471416725</c:v>
                </c:pt>
                <c:pt idx="800">
                  <c:v>0.31521541829843613</c:v>
                </c:pt>
                <c:pt idx="801">
                  <c:v>0.31520022213728005</c:v>
                </c:pt>
                <c:pt idx="802">
                  <c:v>0.31518502623068834</c:v>
                </c:pt>
                <c:pt idx="803">
                  <c:v>0.31516983057865744</c:v>
                </c:pt>
                <c:pt idx="804">
                  <c:v>0.31515463518118914</c:v>
                </c:pt>
                <c:pt idx="805">
                  <c:v>0.3151394400382852</c:v>
                </c:pt>
                <c:pt idx="806">
                  <c:v>0.31512424514992965</c:v>
                </c:pt>
                <c:pt idx="807">
                  <c:v>0.31510905051612959</c:v>
                </c:pt>
                <c:pt idx="808">
                  <c:v>0.3150938561368708</c:v>
                </c:pt>
                <c:pt idx="809">
                  <c:v>0.31507866201216039</c:v>
                </c:pt>
                <c:pt idx="810">
                  <c:v>0.31506346814198594</c:v>
                </c:pt>
                <c:pt idx="811">
                  <c:v>0.31504827452634743</c:v>
                </c:pt>
                <c:pt idx="812">
                  <c:v>0.31503308116524309</c:v>
                </c:pt>
                <c:pt idx="813">
                  <c:v>0.31501788805867648</c:v>
                </c:pt>
                <c:pt idx="814">
                  <c:v>0.31500269520662982</c:v>
                </c:pt>
                <c:pt idx="815">
                  <c:v>0.31498750260910491</c:v>
                </c:pt>
                <c:pt idx="816">
                  <c:v>0.31497231026609995</c:v>
                </c:pt>
                <c:pt idx="817">
                  <c:v>0.31495711817761674</c:v>
                </c:pt>
                <c:pt idx="818">
                  <c:v>0.31494192634364104</c:v>
                </c:pt>
                <c:pt idx="819">
                  <c:v>0.3149267347641711</c:v>
                </c:pt>
                <c:pt idx="820">
                  <c:v>0.31491154343921224</c:v>
                </c:pt>
                <c:pt idx="821">
                  <c:v>0.3148963523687538</c:v>
                </c:pt>
                <c:pt idx="822">
                  <c:v>0.3148811615528011</c:v>
                </c:pt>
                <c:pt idx="823">
                  <c:v>0.31486597099133107</c:v>
                </c:pt>
                <c:pt idx="824">
                  <c:v>0.3148507806843579</c:v>
                </c:pt>
                <c:pt idx="825">
                  <c:v>0.31483559063187094</c:v>
                </c:pt>
                <c:pt idx="826">
                  <c:v>0.31482040083387197</c:v>
                </c:pt>
                <c:pt idx="827">
                  <c:v>0.31480521129035566</c:v>
                </c:pt>
                <c:pt idx="828">
                  <c:v>0.31479002200131312</c:v>
                </c:pt>
                <c:pt idx="829">
                  <c:v>0.31477483296674436</c:v>
                </c:pt>
                <c:pt idx="830">
                  <c:v>0.31475964418665292</c:v>
                </c:pt>
                <c:pt idx="831">
                  <c:v>0.31474445566102638</c:v>
                </c:pt>
                <c:pt idx="832">
                  <c:v>0.31472926738986118</c:v>
                </c:pt>
                <c:pt idx="833">
                  <c:v>0.31471407937315554</c:v>
                </c:pt>
                <c:pt idx="834">
                  <c:v>0.31469889161091125</c:v>
                </c:pt>
                <c:pt idx="835">
                  <c:v>0.31468370410311763</c:v>
                </c:pt>
                <c:pt idx="836">
                  <c:v>0.31466851684978003</c:v>
                </c:pt>
                <c:pt idx="837">
                  <c:v>0.31465332985088246</c:v>
                </c:pt>
                <c:pt idx="838">
                  <c:v>0.31463814310643201</c:v>
                </c:pt>
                <c:pt idx="839">
                  <c:v>0.31462295661641804</c:v>
                </c:pt>
                <c:pt idx="840">
                  <c:v>0.31460777038084409</c:v>
                </c:pt>
                <c:pt idx="841">
                  <c:v>0.31459258439970483</c:v>
                </c:pt>
                <c:pt idx="842">
                  <c:v>0.31457739867299139</c:v>
                </c:pt>
                <c:pt idx="843">
                  <c:v>0.31456221320070021</c:v>
                </c:pt>
                <c:pt idx="844">
                  <c:v>0.31454702798283662</c:v>
                </c:pt>
                <c:pt idx="845">
                  <c:v>0.31453184301938997</c:v>
                </c:pt>
                <c:pt idx="846">
                  <c:v>0.31451665831036202</c:v>
                </c:pt>
                <c:pt idx="847">
                  <c:v>0.31450147385573857</c:v>
                </c:pt>
                <c:pt idx="848">
                  <c:v>0.3144862896555356</c:v>
                </c:pt>
                <c:pt idx="849">
                  <c:v>0.31447110570972825</c:v>
                </c:pt>
                <c:pt idx="850">
                  <c:v>0.3144559220183254</c:v>
                </c:pt>
                <c:pt idx="851">
                  <c:v>0.31444073858132349</c:v>
                </c:pt>
                <c:pt idx="852">
                  <c:v>0.31442555539870831</c:v>
                </c:pt>
                <c:pt idx="853">
                  <c:v>0.31441037247049408</c:v>
                </c:pt>
                <c:pt idx="854">
                  <c:v>0.31439518979666659</c:v>
                </c:pt>
                <c:pt idx="855">
                  <c:v>0.31438000737721872</c:v>
                </c:pt>
                <c:pt idx="856">
                  <c:v>0.31436482521215581</c:v>
                </c:pt>
                <c:pt idx="857">
                  <c:v>0.31434964330146364</c:v>
                </c:pt>
                <c:pt idx="858">
                  <c:v>0.31433446164515644</c:v>
                </c:pt>
                <c:pt idx="859">
                  <c:v>0.31431928024321287</c:v>
                </c:pt>
                <c:pt idx="860">
                  <c:v>0.31430409909563473</c:v>
                </c:pt>
                <c:pt idx="861">
                  <c:v>0.31428891820242555</c:v>
                </c:pt>
                <c:pt idx="862">
                  <c:v>0.31427373756357646</c:v>
                </c:pt>
                <c:pt idx="863">
                  <c:v>0.31425855717908213</c:v>
                </c:pt>
                <c:pt idx="864">
                  <c:v>0.31424337704894079</c:v>
                </c:pt>
                <c:pt idx="865">
                  <c:v>0.3142281971731542</c:v>
                </c:pt>
                <c:pt idx="866">
                  <c:v>0.31421301755170461</c:v>
                </c:pt>
                <c:pt idx="867">
                  <c:v>0.3141978381846009</c:v>
                </c:pt>
                <c:pt idx="868">
                  <c:v>0.31418265907184484</c:v>
                </c:pt>
                <c:pt idx="869">
                  <c:v>0.31416748021341512</c:v>
                </c:pt>
                <c:pt idx="870">
                  <c:v>0.31415230160932239</c:v>
                </c:pt>
                <c:pt idx="871">
                  <c:v>0.31413712325955601</c:v>
                </c:pt>
                <c:pt idx="872">
                  <c:v>0.31412194516411773</c:v>
                </c:pt>
                <c:pt idx="873">
                  <c:v>0.31410676732300047</c:v>
                </c:pt>
                <c:pt idx="874">
                  <c:v>0.31409158973620599</c:v>
                </c:pt>
                <c:pt idx="875">
                  <c:v>0.31407641240372541</c:v>
                </c:pt>
                <c:pt idx="876">
                  <c:v>0.31406123532555164</c:v>
                </c:pt>
                <c:pt idx="877">
                  <c:v>0.31404605850168998</c:v>
                </c:pt>
                <c:pt idx="878">
                  <c:v>0.31403088193213335</c:v>
                </c:pt>
                <c:pt idx="879">
                  <c:v>0.31401570561687819</c:v>
                </c:pt>
                <c:pt idx="880">
                  <c:v>0.31400052955592095</c:v>
                </c:pt>
                <c:pt idx="881">
                  <c:v>0.31398535374925629</c:v>
                </c:pt>
                <c:pt idx="882">
                  <c:v>0.313970178196886</c:v>
                </c:pt>
                <c:pt idx="883">
                  <c:v>0.31395500289880296</c:v>
                </c:pt>
                <c:pt idx="884">
                  <c:v>0.31393982785500008</c:v>
                </c:pt>
                <c:pt idx="885">
                  <c:v>0.31392465306548267</c:v>
                </c:pt>
                <c:pt idx="886">
                  <c:v>0.31390947853023832</c:v>
                </c:pt>
                <c:pt idx="887">
                  <c:v>0.31389430424927056</c:v>
                </c:pt>
                <c:pt idx="888">
                  <c:v>0.3138791302225723</c:v>
                </c:pt>
                <c:pt idx="889">
                  <c:v>0.3138639564501382</c:v>
                </c:pt>
                <c:pt idx="890">
                  <c:v>0.31384878293197538</c:v>
                </c:pt>
                <c:pt idx="891">
                  <c:v>0.31383360966806073</c:v>
                </c:pt>
                <c:pt idx="892">
                  <c:v>0.31381843665840847</c:v>
                </c:pt>
                <c:pt idx="893">
                  <c:v>0.31380326390301327</c:v>
                </c:pt>
                <c:pt idx="894">
                  <c:v>0.31378809140186092</c:v>
                </c:pt>
                <c:pt idx="895">
                  <c:v>0.31377291915496208</c:v>
                </c:pt>
                <c:pt idx="896">
                  <c:v>0.31375774716230076</c:v>
                </c:pt>
                <c:pt idx="897">
                  <c:v>0.31374257542387696</c:v>
                </c:pt>
                <c:pt idx="898">
                  <c:v>0.31372740393968712</c:v>
                </c:pt>
                <c:pt idx="899">
                  <c:v>0.31371223270973836</c:v>
                </c:pt>
                <c:pt idx="900">
                  <c:v>0.31369706173400935</c:v>
                </c:pt>
                <c:pt idx="901">
                  <c:v>0.31368189101251254</c:v>
                </c:pt>
                <c:pt idx="902">
                  <c:v>0.31366672054523903</c:v>
                </c:pt>
                <c:pt idx="903">
                  <c:v>0.31365155033218173</c:v>
                </c:pt>
                <c:pt idx="904">
                  <c:v>0.31363638037333885</c:v>
                </c:pt>
                <c:pt idx="905">
                  <c:v>0.31362121066870152</c:v>
                </c:pt>
                <c:pt idx="906">
                  <c:v>0.3136060412182804</c:v>
                </c:pt>
                <c:pt idx="907">
                  <c:v>0.31359087202206304</c:v>
                </c:pt>
                <c:pt idx="908">
                  <c:v>0.31357570308004235</c:v>
                </c:pt>
                <c:pt idx="909">
                  <c:v>0.31356053439222187</c:v>
                </c:pt>
                <c:pt idx="910">
                  <c:v>0.31354536595859628</c:v>
                </c:pt>
                <c:pt idx="911">
                  <c:v>0.31353019777915847</c:v>
                </c:pt>
                <c:pt idx="912">
                  <c:v>0.31351502985391377</c:v>
                </c:pt>
                <c:pt idx="913">
                  <c:v>0.31349986218284975</c:v>
                </c:pt>
                <c:pt idx="914">
                  <c:v>0.31348469476596641</c:v>
                </c:pt>
                <c:pt idx="915">
                  <c:v>0.31346952760325841</c:v>
                </c:pt>
                <c:pt idx="916">
                  <c:v>0.31345436069472221</c:v>
                </c:pt>
                <c:pt idx="917">
                  <c:v>0.31343919404036313</c:v>
                </c:pt>
                <c:pt idx="918">
                  <c:v>0.31342402764016519</c:v>
                </c:pt>
                <c:pt idx="919">
                  <c:v>0.31340886149412839</c:v>
                </c:pt>
                <c:pt idx="920">
                  <c:v>0.3133936956022616</c:v>
                </c:pt>
                <c:pt idx="921">
                  <c:v>0.31337852996453996</c:v>
                </c:pt>
                <c:pt idx="922">
                  <c:v>0.31336336458096881</c:v>
                </c:pt>
                <c:pt idx="923">
                  <c:v>0.31334819945155701</c:v>
                </c:pt>
                <c:pt idx="924">
                  <c:v>0.31333303457628681</c:v>
                </c:pt>
                <c:pt idx="925">
                  <c:v>0.31331786995515643</c:v>
                </c:pt>
                <c:pt idx="926">
                  <c:v>0.31330270558816764</c:v>
                </c:pt>
                <c:pt idx="927">
                  <c:v>0.3132875414753169</c:v>
                </c:pt>
                <c:pt idx="928">
                  <c:v>0.31327237761659532</c:v>
                </c:pt>
                <c:pt idx="929">
                  <c:v>0.31325721401200468</c:v>
                </c:pt>
                <c:pt idx="930">
                  <c:v>0.31324205066153255</c:v>
                </c:pt>
                <c:pt idx="931">
                  <c:v>0.3132268875651949</c:v>
                </c:pt>
                <c:pt idx="932">
                  <c:v>0.31321172472295977</c:v>
                </c:pt>
                <c:pt idx="933">
                  <c:v>0.31319656213485203</c:v>
                </c:pt>
                <c:pt idx="934">
                  <c:v>0.31318139980085036</c:v>
                </c:pt>
                <c:pt idx="935">
                  <c:v>0.31316623772095298</c:v>
                </c:pt>
                <c:pt idx="936">
                  <c:v>0.31315107589516167</c:v>
                </c:pt>
                <c:pt idx="937">
                  <c:v>0.31313591432347643</c:v>
                </c:pt>
                <c:pt idx="938">
                  <c:v>0.31312075300588837</c:v>
                </c:pt>
                <c:pt idx="939">
                  <c:v>0.31310559194239218</c:v>
                </c:pt>
                <c:pt idx="940">
                  <c:v>0.31309043113298429</c:v>
                </c:pt>
                <c:pt idx="941">
                  <c:v>0.31307527057766649</c:v>
                </c:pt>
                <c:pt idx="942">
                  <c:v>0.31306011027642811</c:v>
                </c:pt>
                <c:pt idx="943">
                  <c:v>0.3130449502292727</c:v>
                </c:pt>
                <c:pt idx="944">
                  <c:v>0.31302979043619139</c:v>
                </c:pt>
                <c:pt idx="945">
                  <c:v>0.3130146308971824</c:v>
                </c:pt>
                <c:pt idx="946">
                  <c:v>0.31299947161224573</c:v>
                </c:pt>
                <c:pt idx="947">
                  <c:v>0.31298431258137605</c:v>
                </c:pt>
                <c:pt idx="948">
                  <c:v>0.31296915380456625</c:v>
                </c:pt>
                <c:pt idx="949">
                  <c:v>0.31295399528181811</c:v>
                </c:pt>
                <c:pt idx="950">
                  <c:v>0.31293883701312986</c:v>
                </c:pt>
                <c:pt idx="951">
                  <c:v>0.31292367899848728</c:v>
                </c:pt>
                <c:pt idx="952">
                  <c:v>0.31290852123789747</c:v>
                </c:pt>
                <c:pt idx="953">
                  <c:v>0.31289336373134979</c:v>
                </c:pt>
                <c:pt idx="954">
                  <c:v>0.31287820647884423</c:v>
                </c:pt>
                <c:pt idx="955">
                  <c:v>0.31286304948038079</c:v>
                </c:pt>
                <c:pt idx="956">
                  <c:v>0.3128478927359577</c:v>
                </c:pt>
                <c:pt idx="957">
                  <c:v>0.31283273624555719</c:v>
                </c:pt>
                <c:pt idx="958">
                  <c:v>0.31281758000918636</c:v>
                </c:pt>
                <c:pt idx="959">
                  <c:v>0.31280242402684522</c:v>
                </c:pt>
                <c:pt idx="960">
                  <c:v>0.3127872682985231</c:v>
                </c:pt>
                <c:pt idx="961">
                  <c:v>0.31277211282421469</c:v>
                </c:pt>
                <c:pt idx="962">
                  <c:v>0.31275695760392708</c:v>
                </c:pt>
                <c:pt idx="963">
                  <c:v>0.31274180263764606</c:v>
                </c:pt>
                <c:pt idx="964">
                  <c:v>0.31272664792537519</c:v>
                </c:pt>
                <c:pt idx="965">
                  <c:v>0.31271149346710736</c:v>
                </c:pt>
                <c:pt idx="966">
                  <c:v>0.31269633926283547</c:v>
                </c:pt>
                <c:pt idx="967">
                  <c:v>0.31268118531256839</c:v>
                </c:pt>
                <c:pt idx="968">
                  <c:v>0.31266603161629192</c:v>
                </c:pt>
                <c:pt idx="969">
                  <c:v>0.31265087817400428</c:v>
                </c:pt>
                <c:pt idx="970">
                  <c:v>0.31263572498570369</c:v>
                </c:pt>
                <c:pt idx="971">
                  <c:v>0.31262057205139016</c:v>
                </c:pt>
                <c:pt idx="972">
                  <c:v>0.31260541937105479</c:v>
                </c:pt>
                <c:pt idx="973">
                  <c:v>0.31259026694469405</c:v>
                </c:pt>
                <c:pt idx="974">
                  <c:v>0.31257511477231148</c:v>
                </c:pt>
                <c:pt idx="975">
                  <c:v>0.31255996285388932</c:v>
                </c:pt>
                <c:pt idx="976">
                  <c:v>0.31254481118943467</c:v>
                </c:pt>
                <c:pt idx="977">
                  <c:v>0.31252965977894753</c:v>
                </c:pt>
                <c:pt idx="978">
                  <c:v>0.31251450862241903</c:v>
                </c:pt>
                <c:pt idx="979">
                  <c:v>0.31249935771984738</c:v>
                </c:pt>
                <c:pt idx="980">
                  <c:v>0.31248420707122548</c:v>
                </c:pt>
                <c:pt idx="981">
                  <c:v>0.31246905667654623</c:v>
                </c:pt>
                <c:pt idx="982">
                  <c:v>0.31245390653582561</c:v>
                </c:pt>
                <c:pt idx="983">
                  <c:v>0.31243875664903342</c:v>
                </c:pt>
                <c:pt idx="984">
                  <c:v>0.31242360701618743</c:v>
                </c:pt>
                <c:pt idx="985">
                  <c:v>0.31240845763727876</c:v>
                </c:pt>
                <c:pt idx="986">
                  <c:v>0.31239330851229674</c:v>
                </c:pt>
                <c:pt idx="987">
                  <c:v>0.31237815964124671</c:v>
                </c:pt>
                <c:pt idx="988">
                  <c:v>0.31236301102411446</c:v>
                </c:pt>
                <c:pt idx="989">
                  <c:v>0.31234786266090531</c:v>
                </c:pt>
                <c:pt idx="990">
                  <c:v>0.31233271455161749</c:v>
                </c:pt>
                <c:pt idx="991">
                  <c:v>0.31231756669624566</c:v>
                </c:pt>
                <c:pt idx="992">
                  <c:v>0.31230241909477563</c:v>
                </c:pt>
                <c:pt idx="993">
                  <c:v>0.31228727174722337</c:v>
                </c:pt>
                <c:pt idx="994">
                  <c:v>0.31227212465357113</c:v>
                </c:pt>
                <c:pt idx="995">
                  <c:v>0.31225697781381712</c:v>
                </c:pt>
                <c:pt idx="996">
                  <c:v>0.31224183122796312</c:v>
                </c:pt>
                <c:pt idx="997">
                  <c:v>0.31222668489600203</c:v>
                </c:pt>
                <c:pt idx="998">
                  <c:v>0.31221153881792851</c:v>
                </c:pt>
                <c:pt idx="999">
                  <c:v>0.31219639299374435</c:v>
                </c:pt>
                <c:pt idx="1000">
                  <c:v>0.31218124742343711</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35.100000000000186</c:v>
                </c:pt>
                <c:pt idx="500">
                  <c:v>35.200000000000188</c:v>
                </c:pt>
                <c:pt idx="501">
                  <c:v>35.300000000000189</c:v>
                </c:pt>
                <c:pt idx="502">
                  <c:v>35.40000000000019</c:v>
                </c:pt>
                <c:pt idx="503">
                  <c:v>35.500000000000192</c:v>
                </c:pt>
                <c:pt idx="504">
                  <c:v>35.600000000000193</c:v>
                </c:pt>
                <c:pt idx="505">
                  <c:v>35.700000000000195</c:v>
                </c:pt>
                <c:pt idx="506">
                  <c:v>35.800000000000196</c:v>
                </c:pt>
                <c:pt idx="507">
                  <c:v>35.900000000000198</c:v>
                </c:pt>
                <c:pt idx="508">
                  <c:v>36.000000000000199</c:v>
                </c:pt>
                <c:pt idx="509">
                  <c:v>36.1000000000002</c:v>
                </c:pt>
                <c:pt idx="510">
                  <c:v>36.200000000000202</c:v>
                </c:pt>
                <c:pt idx="511">
                  <c:v>36.300000000000203</c:v>
                </c:pt>
                <c:pt idx="512">
                  <c:v>36.400000000000205</c:v>
                </c:pt>
                <c:pt idx="513">
                  <c:v>36.500000000000206</c:v>
                </c:pt>
                <c:pt idx="514">
                  <c:v>36.600000000000207</c:v>
                </c:pt>
                <c:pt idx="515">
                  <c:v>36.600100000000211</c:v>
                </c:pt>
                <c:pt idx="516">
                  <c:v>36.600200000000214</c:v>
                </c:pt>
                <c:pt idx="517">
                  <c:v>36.600300000000217</c:v>
                </c:pt>
                <c:pt idx="518">
                  <c:v>36.600400000000221</c:v>
                </c:pt>
                <c:pt idx="519">
                  <c:v>36.600500000000224</c:v>
                </c:pt>
                <c:pt idx="520">
                  <c:v>36.600600000000227</c:v>
                </c:pt>
                <c:pt idx="521">
                  <c:v>36.600700000000231</c:v>
                </c:pt>
                <c:pt idx="522">
                  <c:v>36.600800000000234</c:v>
                </c:pt>
                <c:pt idx="523">
                  <c:v>36.600900000000237</c:v>
                </c:pt>
                <c:pt idx="524">
                  <c:v>36.601000000000241</c:v>
                </c:pt>
                <c:pt idx="525">
                  <c:v>36.601100000000244</c:v>
                </c:pt>
                <c:pt idx="526">
                  <c:v>36.601200000000247</c:v>
                </c:pt>
                <c:pt idx="527">
                  <c:v>36.601300000000251</c:v>
                </c:pt>
                <c:pt idx="528">
                  <c:v>36.601400000000254</c:v>
                </c:pt>
                <c:pt idx="529">
                  <c:v>36.601500000000257</c:v>
                </c:pt>
                <c:pt idx="530">
                  <c:v>36.601600000000261</c:v>
                </c:pt>
                <c:pt idx="531">
                  <c:v>36.601700000000264</c:v>
                </c:pt>
                <c:pt idx="532">
                  <c:v>36.601800000000267</c:v>
                </c:pt>
                <c:pt idx="533">
                  <c:v>36.601900000000271</c:v>
                </c:pt>
                <c:pt idx="534">
                  <c:v>36.602000000000274</c:v>
                </c:pt>
                <c:pt idx="535">
                  <c:v>36.602100000000277</c:v>
                </c:pt>
                <c:pt idx="536">
                  <c:v>36.602200000000281</c:v>
                </c:pt>
                <c:pt idx="537">
                  <c:v>36.602300000000284</c:v>
                </c:pt>
                <c:pt idx="538">
                  <c:v>36.602400000000287</c:v>
                </c:pt>
                <c:pt idx="539">
                  <c:v>36.60250000000029</c:v>
                </c:pt>
                <c:pt idx="540">
                  <c:v>36.602600000000294</c:v>
                </c:pt>
                <c:pt idx="541">
                  <c:v>36.602700000000297</c:v>
                </c:pt>
                <c:pt idx="542">
                  <c:v>36.6028000000003</c:v>
                </c:pt>
                <c:pt idx="543">
                  <c:v>36.602900000000304</c:v>
                </c:pt>
                <c:pt idx="544">
                  <c:v>36.603000000000307</c:v>
                </c:pt>
                <c:pt idx="545">
                  <c:v>36.60310000000031</c:v>
                </c:pt>
                <c:pt idx="546">
                  <c:v>36.603200000000314</c:v>
                </c:pt>
                <c:pt idx="547">
                  <c:v>36.603300000000317</c:v>
                </c:pt>
                <c:pt idx="548">
                  <c:v>36.60340000000032</c:v>
                </c:pt>
                <c:pt idx="549">
                  <c:v>36.603500000000324</c:v>
                </c:pt>
                <c:pt idx="550">
                  <c:v>36.603600000000327</c:v>
                </c:pt>
                <c:pt idx="551">
                  <c:v>36.60370000000033</c:v>
                </c:pt>
                <c:pt idx="552">
                  <c:v>36.603800000000334</c:v>
                </c:pt>
                <c:pt idx="553">
                  <c:v>36.603900000000337</c:v>
                </c:pt>
                <c:pt idx="554">
                  <c:v>36.60400000000034</c:v>
                </c:pt>
                <c:pt idx="555">
                  <c:v>36.604100000000344</c:v>
                </c:pt>
                <c:pt idx="556">
                  <c:v>36.604200000000347</c:v>
                </c:pt>
                <c:pt idx="557">
                  <c:v>36.60430000000035</c:v>
                </c:pt>
                <c:pt idx="558">
                  <c:v>36.604400000000354</c:v>
                </c:pt>
                <c:pt idx="559">
                  <c:v>36.604500000000357</c:v>
                </c:pt>
                <c:pt idx="560">
                  <c:v>36.60460000000036</c:v>
                </c:pt>
                <c:pt idx="561">
                  <c:v>36.604700000000364</c:v>
                </c:pt>
                <c:pt idx="562">
                  <c:v>36.604800000000367</c:v>
                </c:pt>
                <c:pt idx="563">
                  <c:v>36.60490000000037</c:v>
                </c:pt>
                <c:pt idx="564">
                  <c:v>36.605000000000373</c:v>
                </c:pt>
                <c:pt idx="565">
                  <c:v>36.605100000000377</c:v>
                </c:pt>
                <c:pt idx="566">
                  <c:v>36.60520000000038</c:v>
                </c:pt>
                <c:pt idx="567">
                  <c:v>36.605300000000383</c:v>
                </c:pt>
                <c:pt idx="568">
                  <c:v>36.605400000000387</c:v>
                </c:pt>
                <c:pt idx="569">
                  <c:v>36.60550000000039</c:v>
                </c:pt>
                <c:pt idx="570">
                  <c:v>36.605600000000393</c:v>
                </c:pt>
                <c:pt idx="571">
                  <c:v>36.605700000000397</c:v>
                </c:pt>
                <c:pt idx="572">
                  <c:v>36.6058000000004</c:v>
                </c:pt>
                <c:pt idx="573">
                  <c:v>36.605900000000403</c:v>
                </c:pt>
                <c:pt idx="574">
                  <c:v>36.606000000000407</c:v>
                </c:pt>
                <c:pt idx="575">
                  <c:v>36.60610000000041</c:v>
                </c:pt>
                <c:pt idx="576">
                  <c:v>36.606200000000413</c:v>
                </c:pt>
                <c:pt idx="577">
                  <c:v>36.606300000000417</c:v>
                </c:pt>
                <c:pt idx="578">
                  <c:v>36.60640000000042</c:v>
                </c:pt>
                <c:pt idx="579">
                  <c:v>36.606500000000423</c:v>
                </c:pt>
                <c:pt idx="580">
                  <c:v>36.606600000000427</c:v>
                </c:pt>
                <c:pt idx="581">
                  <c:v>36.60670000000043</c:v>
                </c:pt>
                <c:pt idx="582">
                  <c:v>36.606800000000433</c:v>
                </c:pt>
                <c:pt idx="583">
                  <c:v>36.606900000000437</c:v>
                </c:pt>
                <c:pt idx="584">
                  <c:v>36.60700000000044</c:v>
                </c:pt>
                <c:pt idx="585">
                  <c:v>36.607100000000443</c:v>
                </c:pt>
                <c:pt idx="586">
                  <c:v>36.607200000000446</c:v>
                </c:pt>
                <c:pt idx="587">
                  <c:v>36.60730000000045</c:v>
                </c:pt>
                <c:pt idx="588">
                  <c:v>36.607400000000453</c:v>
                </c:pt>
                <c:pt idx="589">
                  <c:v>36.607500000000456</c:v>
                </c:pt>
                <c:pt idx="590">
                  <c:v>36.60760000000046</c:v>
                </c:pt>
                <c:pt idx="591">
                  <c:v>36.607700000000463</c:v>
                </c:pt>
                <c:pt idx="592">
                  <c:v>36.607800000000466</c:v>
                </c:pt>
                <c:pt idx="593">
                  <c:v>36.60790000000047</c:v>
                </c:pt>
                <c:pt idx="594">
                  <c:v>36.608000000000473</c:v>
                </c:pt>
                <c:pt idx="595">
                  <c:v>36.608100000000476</c:v>
                </c:pt>
                <c:pt idx="596">
                  <c:v>36.60820000000048</c:v>
                </c:pt>
                <c:pt idx="597">
                  <c:v>36.608300000000483</c:v>
                </c:pt>
                <c:pt idx="598">
                  <c:v>36.608400000000486</c:v>
                </c:pt>
                <c:pt idx="599">
                  <c:v>36.60850000000049</c:v>
                </c:pt>
                <c:pt idx="600">
                  <c:v>36.608600000000493</c:v>
                </c:pt>
                <c:pt idx="601">
                  <c:v>36.608700000000496</c:v>
                </c:pt>
                <c:pt idx="602">
                  <c:v>36.6088000000005</c:v>
                </c:pt>
                <c:pt idx="603">
                  <c:v>36.608900000000503</c:v>
                </c:pt>
                <c:pt idx="604">
                  <c:v>36.609000000000506</c:v>
                </c:pt>
                <c:pt idx="605">
                  <c:v>36.60910000000051</c:v>
                </c:pt>
                <c:pt idx="606">
                  <c:v>36.609200000000513</c:v>
                </c:pt>
                <c:pt idx="607">
                  <c:v>36.609300000000516</c:v>
                </c:pt>
                <c:pt idx="608">
                  <c:v>36.60940000000052</c:v>
                </c:pt>
                <c:pt idx="609">
                  <c:v>36.609500000000523</c:v>
                </c:pt>
                <c:pt idx="610">
                  <c:v>36.609600000000526</c:v>
                </c:pt>
                <c:pt idx="611">
                  <c:v>36.609700000000529</c:v>
                </c:pt>
                <c:pt idx="612">
                  <c:v>36.609800000000533</c:v>
                </c:pt>
                <c:pt idx="613">
                  <c:v>36.609900000000536</c:v>
                </c:pt>
                <c:pt idx="614">
                  <c:v>36.610000000000539</c:v>
                </c:pt>
                <c:pt idx="615">
                  <c:v>36.610100000000543</c:v>
                </c:pt>
                <c:pt idx="616">
                  <c:v>36.610200000000546</c:v>
                </c:pt>
                <c:pt idx="617">
                  <c:v>36.610300000000549</c:v>
                </c:pt>
                <c:pt idx="618">
                  <c:v>36.610400000000553</c:v>
                </c:pt>
                <c:pt idx="619">
                  <c:v>36.610500000000556</c:v>
                </c:pt>
                <c:pt idx="620">
                  <c:v>36.610600000000559</c:v>
                </c:pt>
                <c:pt idx="621">
                  <c:v>36.610700000000563</c:v>
                </c:pt>
                <c:pt idx="622">
                  <c:v>36.610800000000566</c:v>
                </c:pt>
                <c:pt idx="623">
                  <c:v>36.610900000000569</c:v>
                </c:pt>
                <c:pt idx="624">
                  <c:v>36.611000000000573</c:v>
                </c:pt>
                <c:pt idx="625">
                  <c:v>36.611100000000576</c:v>
                </c:pt>
                <c:pt idx="626">
                  <c:v>36.611200000000579</c:v>
                </c:pt>
                <c:pt idx="627">
                  <c:v>36.611300000000583</c:v>
                </c:pt>
                <c:pt idx="628">
                  <c:v>36.611400000000586</c:v>
                </c:pt>
                <c:pt idx="629">
                  <c:v>36.611500000000589</c:v>
                </c:pt>
                <c:pt idx="630">
                  <c:v>36.611600000000593</c:v>
                </c:pt>
                <c:pt idx="631">
                  <c:v>36.611700000000596</c:v>
                </c:pt>
                <c:pt idx="632">
                  <c:v>36.611800000000599</c:v>
                </c:pt>
                <c:pt idx="633">
                  <c:v>36.611900000000603</c:v>
                </c:pt>
                <c:pt idx="634">
                  <c:v>36.612000000000606</c:v>
                </c:pt>
                <c:pt idx="635">
                  <c:v>36.612100000000609</c:v>
                </c:pt>
                <c:pt idx="636">
                  <c:v>36.612200000000612</c:v>
                </c:pt>
                <c:pt idx="637">
                  <c:v>36.612300000000616</c:v>
                </c:pt>
                <c:pt idx="638">
                  <c:v>36.612400000000619</c:v>
                </c:pt>
                <c:pt idx="639">
                  <c:v>36.612500000000622</c:v>
                </c:pt>
                <c:pt idx="640">
                  <c:v>36.612600000000626</c:v>
                </c:pt>
                <c:pt idx="641">
                  <c:v>36.612700000000629</c:v>
                </c:pt>
                <c:pt idx="642">
                  <c:v>36.612800000000632</c:v>
                </c:pt>
                <c:pt idx="643">
                  <c:v>36.612900000000636</c:v>
                </c:pt>
                <c:pt idx="644">
                  <c:v>36.613000000000639</c:v>
                </c:pt>
                <c:pt idx="645">
                  <c:v>36.613100000000642</c:v>
                </c:pt>
                <c:pt idx="646">
                  <c:v>36.613200000000646</c:v>
                </c:pt>
                <c:pt idx="647">
                  <c:v>36.613300000000649</c:v>
                </c:pt>
                <c:pt idx="648">
                  <c:v>36.613400000000652</c:v>
                </c:pt>
                <c:pt idx="649">
                  <c:v>36.613500000000656</c:v>
                </c:pt>
                <c:pt idx="650">
                  <c:v>36.613600000000659</c:v>
                </c:pt>
                <c:pt idx="651">
                  <c:v>36.613700000000662</c:v>
                </c:pt>
                <c:pt idx="652">
                  <c:v>36.613800000000666</c:v>
                </c:pt>
                <c:pt idx="653">
                  <c:v>36.613900000000669</c:v>
                </c:pt>
                <c:pt idx="654">
                  <c:v>36.614000000000672</c:v>
                </c:pt>
                <c:pt idx="655">
                  <c:v>36.614100000000676</c:v>
                </c:pt>
                <c:pt idx="656">
                  <c:v>36.614200000000679</c:v>
                </c:pt>
                <c:pt idx="657">
                  <c:v>36.614300000000682</c:v>
                </c:pt>
                <c:pt idx="658">
                  <c:v>36.614400000000686</c:v>
                </c:pt>
                <c:pt idx="659">
                  <c:v>36.614500000000689</c:v>
                </c:pt>
                <c:pt idx="660">
                  <c:v>36.614600000000692</c:v>
                </c:pt>
                <c:pt idx="661">
                  <c:v>36.614700000000695</c:v>
                </c:pt>
                <c:pt idx="662">
                  <c:v>36.614800000000699</c:v>
                </c:pt>
                <c:pt idx="663">
                  <c:v>36.614900000000702</c:v>
                </c:pt>
                <c:pt idx="664">
                  <c:v>36.615000000000705</c:v>
                </c:pt>
                <c:pt idx="665">
                  <c:v>36.615100000000709</c:v>
                </c:pt>
                <c:pt idx="666">
                  <c:v>36.615200000000712</c:v>
                </c:pt>
                <c:pt idx="667">
                  <c:v>36.615300000000715</c:v>
                </c:pt>
                <c:pt idx="668">
                  <c:v>36.615400000000719</c:v>
                </c:pt>
                <c:pt idx="669">
                  <c:v>36.615500000000722</c:v>
                </c:pt>
                <c:pt idx="670">
                  <c:v>36.615600000000725</c:v>
                </c:pt>
                <c:pt idx="671">
                  <c:v>36.615700000000729</c:v>
                </c:pt>
                <c:pt idx="672">
                  <c:v>36.615800000000732</c:v>
                </c:pt>
                <c:pt idx="673">
                  <c:v>36.615900000000735</c:v>
                </c:pt>
                <c:pt idx="674">
                  <c:v>36.616000000000739</c:v>
                </c:pt>
                <c:pt idx="675">
                  <c:v>36.616100000000742</c:v>
                </c:pt>
                <c:pt idx="676">
                  <c:v>36.616200000000745</c:v>
                </c:pt>
                <c:pt idx="677">
                  <c:v>36.616300000000749</c:v>
                </c:pt>
                <c:pt idx="678">
                  <c:v>36.616400000000752</c:v>
                </c:pt>
                <c:pt idx="679">
                  <c:v>36.616500000000755</c:v>
                </c:pt>
                <c:pt idx="680">
                  <c:v>36.616600000000759</c:v>
                </c:pt>
                <c:pt idx="681">
                  <c:v>36.616700000000762</c:v>
                </c:pt>
                <c:pt idx="682">
                  <c:v>36.616800000000765</c:v>
                </c:pt>
                <c:pt idx="683">
                  <c:v>36.616900000000769</c:v>
                </c:pt>
                <c:pt idx="684">
                  <c:v>36.617000000000772</c:v>
                </c:pt>
                <c:pt idx="685">
                  <c:v>36.617100000000775</c:v>
                </c:pt>
                <c:pt idx="686">
                  <c:v>36.617200000000778</c:v>
                </c:pt>
                <c:pt idx="687">
                  <c:v>36.617300000000782</c:v>
                </c:pt>
                <c:pt idx="688">
                  <c:v>36.617400000000785</c:v>
                </c:pt>
                <c:pt idx="689">
                  <c:v>36.617500000000788</c:v>
                </c:pt>
                <c:pt idx="690">
                  <c:v>36.617600000000792</c:v>
                </c:pt>
                <c:pt idx="691">
                  <c:v>36.617700000000795</c:v>
                </c:pt>
                <c:pt idx="692">
                  <c:v>36.617800000000798</c:v>
                </c:pt>
                <c:pt idx="693">
                  <c:v>36.617900000000802</c:v>
                </c:pt>
                <c:pt idx="694">
                  <c:v>36.618000000000805</c:v>
                </c:pt>
                <c:pt idx="695">
                  <c:v>36.618100000000808</c:v>
                </c:pt>
                <c:pt idx="696">
                  <c:v>36.618200000000812</c:v>
                </c:pt>
                <c:pt idx="697">
                  <c:v>36.618300000000815</c:v>
                </c:pt>
                <c:pt idx="698">
                  <c:v>36.618400000000818</c:v>
                </c:pt>
                <c:pt idx="699">
                  <c:v>36.618500000000822</c:v>
                </c:pt>
                <c:pt idx="700">
                  <c:v>36.618600000000825</c:v>
                </c:pt>
                <c:pt idx="701">
                  <c:v>36.618700000000828</c:v>
                </c:pt>
                <c:pt idx="702">
                  <c:v>36.618800000000832</c:v>
                </c:pt>
                <c:pt idx="703">
                  <c:v>36.618900000000835</c:v>
                </c:pt>
                <c:pt idx="704">
                  <c:v>36.619000000000838</c:v>
                </c:pt>
                <c:pt idx="705">
                  <c:v>36.619100000000842</c:v>
                </c:pt>
                <c:pt idx="706">
                  <c:v>36.619200000000845</c:v>
                </c:pt>
                <c:pt idx="707">
                  <c:v>36.619300000000848</c:v>
                </c:pt>
                <c:pt idx="708">
                  <c:v>36.619400000000851</c:v>
                </c:pt>
                <c:pt idx="709">
                  <c:v>36.619500000000855</c:v>
                </c:pt>
                <c:pt idx="710">
                  <c:v>36.619600000000858</c:v>
                </c:pt>
                <c:pt idx="711">
                  <c:v>36.619700000000861</c:v>
                </c:pt>
                <c:pt idx="712">
                  <c:v>36.619800000000865</c:v>
                </c:pt>
                <c:pt idx="713">
                  <c:v>36.619900000000868</c:v>
                </c:pt>
                <c:pt idx="714">
                  <c:v>36.620000000000871</c:v>
                </c:pt>
                <c:pt idx="715">
                  <c:v>36.620100000000875</c:v>
                </c:pt>
                <c:pt idx="716">
                  <c:v>36.620200000000878</c:v>
                </c:pt>
                <c:pt idx="717">
                  <c:v>36.620300000000881</c:v>
                </c:pt>
                <c:pt idx="718">
                  <c:v>36.620400000000885</c:v>
                </c:pt>
                <c:pt idx="719">
                  <c:v>36.620500000000888</c:v>
                </c:pt>
                <c:pt idx="720">
                  <c:v>36.620600000000891</c:v>
                </c:pt>
                <c:pt idx="721">
                  <c:v>36.620700000000895</c:v>
                </c:pt>
                <c:pt idx="722">
                  <c:v>36.620800000000898</c:v>
                </c:pt>
                <c:pt idx="723">
                  <c:v>36.620900000000901</c:v>
                </c:pt>
                <c:pt idx="724">
                  <c:v>36.621000000000905</c:v>
                </c:pt>
                <c:pt idx="725">
                  <c:v>36.621100000000908</c:v>
                </c:pt>
                <c:pt idx="726">
                  <c:v>36.621200000000911</c:v>
                </c:pt>
                <c:pt idx="727">
                  <c:v>36.621300000000915</c:v>
                </c:pt>
                <c:pt idx="728">
                  <c:v>36.621400000000918</c:v>
                </c:pt>
                <c:pt idx="729">
                  <c:v>36.621500000000921</c:v>
                </c:pt>
                <c:pt idx="730">
                  <c:v>36.621600000000925</c:v>
                </c:pt>
                <c:pt idx="731">
                  <c:v>36.621700000000928</c:v>
                </c:pt>
                <c:pt idx="732">
                  <c:v>36.621800000000931</c:v>
                </c:pt>
                <c:pt idx="733">
                  <c:v>36.621900000000934</c:v>
                </c:pt>
                <c:pt idx="734">
                  <c:v>36.622000000000938</c:v>
                </c:pt>
                <c:pt idx="735">
                  <c:v>36.622100000000941</c:v>
                </c:pt>
                <c:pt idx="736">
                  <c:v>36.622200000000944</c:v>
                </c:pt>
                <c:pt idx="737">
                  <c:v>36.622300000000948</c:v>
                </c:pt>
                <c:pt idx="738">
                  <c:v>36.622400000000951</c:v>
                </c:pt>
                <c:pt idx="739">
                  <c:v>36.622500000000954</c:v>
                </c:pt>
                <c:pt idx="740">
                  <c:v>36.622600000000958</c:v>
                </c:pt>
                <c:pt idx="741">
                  <c:v>36.622700000000961</c:v>
                </c:pt>
                <c:pt idx="742">
                  <c:v>36.622800000000964</c:v>
                </c:pt>
                <c:pt idx="743">
                  <c:v>36.622900000000968</c:v>
                </c:pt>
                <c:pt idx="744">
                  <c:v>36.623000000000971</c:v>
                </c:pt>
                <c:pt idx="745">
                  <c:v>36.623100000000974</c:v>
                </c:pt>
                <c:pt idx="746">
                  <c:v>36.623200000000978</c:v>
                </c:pt>
                <c:pt idx="747">
                  <c:v>36.623300000000981</c:v>
                </c:pt>
                <c:pt idx="748">
                  <c:v>36.623400000000984</c:v>
                </c:pt>
                <c:pt idx="749">
                  <c:v>36.623500000000988</c:v>
                </c:pt>
                <c:pt idx="750">
                  <c:v>36.623600000000991</c:v>
                </c:pt>
                <c:pt idx="751">
                  <c:v>36.623700000000994</c:v>
                </c:pt>
                <c:pt idx="752">
                  <c:v>36.623800000000998</c:v>
                </c:pt>
                <c:pt idx="753">
                  <c:v>36.623900000001001</c:v>
                </c:pt>
                <c:pt idx="754">
                  <c:v>36.624000000001004</c:v>
                </c:pt>
                <c:pt idx="755">
                  <c:v>36.624100000001008</c:v>
                </c:pt>
                <c:pt idx="756">
                  <c:v>36.624200000001011</c:v>
                </c:pt>
                <c:pt idx="757">
                  <c:v>36.624300000001014</c:v>
                </c:pt>
                <c:pt idx="758">
                  <c:v>36.624400000001017</c:v>
                </c:pt>
                <c:pt idx="759">
                  <c:v>36.624500000001021</c:v>
                </c:pt>
                <c:pt idx="760">
                  <c:v>36.624600000001024</c:v>
                </c:pt>
                <c:pt idx="761">
                  <c:v>36.624700000001027</c:v>
                </c:pt>
                <c:pt idx="762">
                  <c:v>36.624800000001031</c:v>
                </c:pt>
                <c:pt idx="763">
                  <c:v>36.624900000001034</c:v>
                </c:pt>
                <c:pt idx="764">
                  <c:v>36.625000000001037</c:v>
                </c:pt>
                <c:pt idx="765">
                  <c:v>36.625100000001041</c:v>
                </c:pt>
                <c:pt idx="766">
                  <c:v>36.625200000001044</c:v>
                </c:pt>
                <c:pt idx="767">
                  <c:v>36.625300000001047</c:v>
                </c:pt>
                <c:pt idx="768">
                  <c:v>36.625400000001051</c:v>
                </c:pt>
                <c:pt idx="769">
                  <c:v>36.625500000001054</c:v>
                </c:pt>
                <c:pt idx="770">
                  <c:v>36.625600000001057</c:v>
                </c:pt>
                <c:pt idx="771">
                  <c:v>36.625700000001061</c:v>
                </c:pt>
                <c:pt idx="772">
                  <c:v>36.625800000001064</c:v>
                </c:pt>
                <c:pt idx="773">
                  <c:v>36.625900000001067</c:v>
                </c:pt>
                <c:pt idx="774">
                  <c:v>36.626000000001071</c:v>
                </c:pt>
                <c:pt idx="775">
                  <c:v>36.626100000001074</c:v>
                </c:pt>
                <c:pt idx="776">
                  <c:v>36.626200000001077</c:v>
                </c:pt>
                <c:pt idx="777">
                  <c:v>36.626300000001081</c:v>
                </c:pt>
                <c:pt idx="778">
                  <c:v>36.626400000001084</c:v>
                </c:pt>
                <c:pt idx="779">
                  <c:v>36.626500000001087</c:v>
                </c:pt>
                <c:pt idx="780">
                  <c:v>36.626600000001091</c:v>
                </c:pt>
                <c:pt idx="781">
                  <c:v>36.626700000001094</c:v>
                </c:pt>
                <c:pt idx="782">
                  <c:v>36.626800000001097</c:v>
                </c:pt>
                <c:pt idx="783">
                  <c:v>36.6269000000011</c:v>
                </c:pt>
                <c:pt idx="784">
                  <c:v>36.627000000001104</c:v>
                </c:pt>
                <c:pt idx="785">
                  <c:v>36.627100000001107</c:v>
                </c:pt>
                <c:pt idx="786">
                  <c:v>36.62720000000111</c:v>
                </c:pt>
                <c:pt idx="787">
                  <c:v>36.627300000001114</c:v>
                </c:pt>
                <c:pt idx="788">
                  <c:v>36.627400000001117</c:v>
                </c:pt>
                <c:pt idx="789">
                  <c:v>36.62750000000112</c:v>
                </c:pt>
                <c:pt idx="790">
                  <c:v>36.627600000001124</c:v>
                </c:pt>
                <c:pt idx="791">
                  <c:v>36.627700000001127</c:v>
                </c:pt>
                <c:pt idx="792">
                  <c:v>36.62780000000113</c:v>
                </c:pt>
                <c:pt idx="793">
                  <c:v>36.627900000001134</c:v>
                </c:pt>
                <c:pt idx="794">
                  <c:v>36.628000000001137</c:v>
                </c:pt>
                <c:pt idx="795">
                  <c:v>36.62810000000114</c:v>
                </c:pt>
                <c:pt idx="796">
                  <c:v>36.628200000001144</c:v>
                </c:pt>
                <c:pt idx="797">
                  <c:v>36.628300000001147</c:v>
                </c:pt>
                <c:pt idx="798">
                  <c:v>36.62840000000115</c:v>
                </c:pt>
                <c:pt idx="799">
                  <c:v>36.628500000001154</c:v>
                </c:pt>
                <c:pt idx="800">
                  <c:v>36.628600000001157</c:v>
                </c:pt>
                <c:pt idx="801">
                  <c:v>36.62870000000116</c:v>
                </c:pt>
                <c:pt idx="802">
                  <c:v>36.628800000001164</c:v>
                </c:pt>
                <c:pt idx="803">
                  <c:v>36.628900000001167</c:v>
                </c:pt>
                <c:pt idx="804">
                  <c:v>36.62900000000117</c:v>
                </c:pt>
                <c:pt idx="805">
                  <c:v>36.629100000001173</c:v>
                </c:pt>
                <c:pt idx="806">
                  <c:v>36.629200000001177</c:v>
                </c:pt>
                <c:pt idx="807">
                  <c:v>36.62930000000118</c:v>
                </c:pt>
                <c:pt idx="808">
                  <c:v>36.629400000001183</c:v>
                </c:pt>
                <c:pt idx="809">
                  <c:v>36.629500000001187</c:v>
                </c:pt>
                <c:pt idx="810">
                  <c:v>36.62960000000119</c:v>
                </c:pt>
                <c:pt idx="811">
                  <c:v>36.629700000001193</c:v>
                </c:pt>
                <c:pt idx="812">
                  <c:v>36.629800000001197</c:v>
                </c:pt>
                <c:pt idx="813">
                  <c:v>36.6299000000012</c:v>
                </c:pt>
                <c:pt idx="814">
                  <c:v>36.630000000001203</c:v>
                </c:pt>
                <c:pt idx="815">
                  <c:v>36.630100000001207</c:v>
                </c:pt>
                <c:pt idx="816">
                  <c:v>36.63020000000121</c:v>
                </c:pt>
                <c:pt idx="817">
                  <c:v>36.630300000001213</c:v>
                </c:pt>
                <c:pt idx="818">
                  <c:v>36.630400000001217</c:v>
                </c:pt>
                <c:pt idx="819">
                  <c:v>36.63050000000122</c:v>
                </c:pt>
                <c:pt idx="820">
                  <c:v>36.630600000001223</c:v>
                </c:pt>
                <c:pt idx="821">
                  <c:v>36.630700000001227</c:v>
                </c:pt>
                <c:pt idx="822">
                  <c:v>36.63080000000123</c:v>
                </c:pt>
                <c:pt idx="823">
                  <c:v>36.630900000001233</c:v>
                </c:pt>
                <c:pt idx="824">
                  <c:v>36.631000000001237</c:v>
                </c:pt>
                <c:pt idx="825">
                  <c:v>36.63110000000124</c:v>
                </c:pt>
                <c:pt idx="826">
                  <c:v>36.631200000001243</c:v>
                </c:pt>
                <c:pt idx="827">
                  <c:v>36.631300000001247</c:v>
                </c:pt>
                <c:pt idx="828">
                  <c:v>36.63140000000125</c:v>
                </c:pt>
                <c:pt idx="829">
                  <c:v>36.631500000001253</c:v>
                </c:pt>
                <c:pt idx="830">
                  <c:v>36.631600000001256</c:v>
                </c:pt>
                <c:pt idx="831">
                  <c:v>36.63170000000126</c:v>
                </c:pt>
                <c:pt idx="832">
                  <c:v>36.631800000001263</c:v>
                </c:pt>
                <c:pt idx="833">
                  <c:v>36.631900000001266</c:v>
                </c:pt>
                <c:pt idx="834">
                  <c:v>36.63200000000127</c:v>
                </c:pt>
                <c:pt idx="835">
                  <c:v>36.632100000001273</c:v>
                </c:pt>
                <c:pt idx="836">
                  <c:v>36.632200000001276</c:v>
                </c:pt>
                <c:pt idx="837">
                  <c:v>36.63230000000128</c:v>
                </c:pt>
                <c:pt idx="838">
                  <c:v>36.632400000001283</c:v>
                </c:pt>
                <c:pt idx="839">
                  <c:v>36.632500000001286</c:v>
                </c:pt>
                <c:pt idx="840">
                  <c:v>36.63260000000129</c:v>
                </c:pt>
                <c:pt idx="841">
                  <c:v>36.632700000001293</c:v>
                </c:pt>
                <c:pt idx="842">
                  <c:v>36.632800000001296</c:v>
                </c:pt>
                <c:pt idx="843">
                  <c:v>36.6329000000013</c:v>
                </c:pt>
                <c:pt idx="844">
                  <c:v>36.633000000001303</c:v>
                </c:pt>
                <c:pt idx="845">
                  <c:v>36.633100000001306</c:v>
                </c:pt>
                <c:pt idx="846">
                  <c:v>36.63320000000131</c:v>
                </c:pt>
                <c:pt idx="847">
                  <c:v>36.633300000001313</c:v>
                </c:pt>
                <c:pt idx="848">
                  <c:v>36.633400000001316</c:v>
                </c:pt>
                <c:pt idx="849">
                  <c:v>36.63350000000132</c:v>
                </c:pt>
                <c:pt idx="850">
                  <c:v>36.633600000001323</c:v>
                </c:pt>
                <c:pt idx="851">
                  <c:v>36.633700000001326</c:v>
                </c:pt>
                <c:pt idx="852">
                  <c:v>36.63380000000133</c:v>
                </c:pt>
                <c:pt idx="853">
                  <c:v>36.633900000001333</c:v>
                </c:pt>
                <c:pt idx="854">
                  <c:v>36.634000000001336</c:v>
                </c:pt>
                <c:pt idx="855">
                  <c:v>36.634100000001339</c:v>
                </c:pt>
                <c:pt idx="856">
                  <c:v>36.634200000001343</c:v>
                </c:pt>
                <c:pt idx="857">
                  <c:v>36.634300000001346</c:v>
                </c:pt>
                <c:pt idx="858">
                  <c:v>36.634400000001349</c:v>
                </c:pt>
                <c:pt idx="859">
                  <c:v>36.634500000001353</c:v>
                </c:pt>
                <c:pt idx="860">
                  <c:v>36.634600000001356</c:v>
                </c:pt>
                <c:pt idx="861">
                  <c:v>36.634700000001359</c:v>
                </c:pt>
                <c:pt idx="862">
                  <c:v>36.634800000001363</c:v>
                </c:pt>
                <c:pt idx="863">
                  <c:v>36.634900000001366</c:v>
                </c:pt>
                <c:pt idx="864">
                  <c:v>36.635000000001369</c:v>
                </c:pt>
                <c:pt idx="865">
                  <c:v>36.635100000001373</c:v>
                </c:pt>
                <c:pt idx="866">
                  <c:v>36.635200000001376</c:v>
                </c:pt>
                <c:pt idx="867">
                  <c:v>36.635300000001379</c:v>
                </c:pt>
                <c:pt idx="868">
                  <c:v>36.635400000001383</c:v>
                </c:pt>
                <c:pt idx="869">
                  <c:v>36.635500000001386</c:v>
                </c:pt>
                <c:pt idx="870">
                  <c:v>36.635600000001389</c:v>
                </c:pt>
                <c:pt idx="871">
                  <c:v>36.635700000001393</c:v>
                </c:pt>
                <c:pt idx="872">
                  <c:v>36.635800000001396</c:v>
                </c:pt>
                <c:pt idx="873">
                  <c:v>36.635900000001399</c:v>
                </c:pt>
                <c:pt idx="874">
                  <c:v>36.636000000001403</c:v>
                </c:pt>
                <c:pt idx="875">
                  <c:v>36.636100000001406</c:v>
                </c:pt>
                <c:pt idx="876">
                  <c:v>36.636200000001409</c:v>
                </c:pt>
                <c:pt idx="877">
                  <c:v>36.636300000001413</c:v>
                </c:pt>
                <c:pt idx="878">
                  <c:v>36.636400000001416</c:v>
                </c:pt>
                <c:pt idx="879">
                  <c:v>36.636500000001419</c:v>
                </c:pt>
                <c:pt idx="880">
                  <c:v>36.636600000001422</c:v>
                </c:pt>
                <c:pt idx="881">
                  <c:v>36.636700000001426</c:v>
                </c:pt>
                <c:pt idx="882">
                  <c:v>36.636800000001429</c:v>
                </c:pt>
                <c:pt idx="883">
                  <c:v>36.636900000001432</c:v>
                </c:pt>
                <c:pt idx="884">
                  <c:v>36.637000000001436</c:v>
                </c:pt>
                <c:pt idx="885">
                  <c:v>36.637100000001439</c:v>
                </c:pt>
                <c:pt idx="886">
                  <c:v>36.637200000001442</c:v>
                </c:pt>
                <c:pt idx="887">
                  <c:v>36.637300000001446</c:v>
                </c:pt>
                <c:pt idx="888">
                  <c:v>36.637400000001449</c:v>
                </c:pt>
                <c:pt idx="889">
                  <c:v>36.637500000001452</c:v>
                </c:pt>
                <c:pt idx="890">
                  <c:v>36.637600000001456</c:v>
                </c:pt>
                <c:pt idx="891">
                  <c:v>36.637700000001459</c:v>
                </c:pt>
                <c:pt idx="892">
                  <c:v>36.637800000001462</c:v>
                </c:pt>
                <c:pt idx="893">
                  <c:v>36.637900000001466</c:v>
                </c:pt>
                <c:pt idx="894">
                  <c:v>36.638000000001469</c:v>
                </c:pt>
                <c:pt idx="895">
                  <c:v>36.638100000001472</c:v>
                </c:pt>
                <c:pt idx="896">
                  <c:v>36.638200000001476</c:v>
                </c:pt>
                <c:pt idx="897">
                  <c:v>36.638300000001479</c:v>
                </c:pt>
                <c:pt idx="898">
                  <c:v>36.638400000001482</c:v>
                </c:pt>
                <c:pt idx="899">
                  <c:v>36.638500000001486</c:v>
                </c:pt>
                <c:pt idx="900">
                  <c:v>36.638600000001489</c:v>
                </c:pt>
                <c:pt idx="901">
                  <c:v>36.638700000001492</c:v>
                </c:pt>
                <c:pt idx="902">
                  <c:v>36.638800000001496</c:v>
                </c:pt>
                <c:pt idx="903">
                  <c:v>36.638900000001499</c:v>
                </c:pt>
                <c:pt idx="904">
                  <c:v>36.639000000001502</c:v>
                </c:pt>
                <c:pt idx="905">
                  <c:v>36.639100000001505</c:v>
                </c:pt>
                <c:pt idx="906">
                  <c:v>36.639200000001509</c:v>
                </c:pt>
                <c:pt idx="907">
                  <c:v>36.639300000001512</c:v>
                </c:pt>
                <c:pt idx="908">
                  <c:v>36.639400000001515</c:v>
                </c:pt>
                <c:pt idx="909">
                  <c:v>36.639500000001519</c:v>
                </c:pt>
                <c:pt idx="910">
                  <c:v>36.639600000001522</c:v>
                </c:pt>
                <c:pt idx="911">
                  <c:v>36.639700000001525</c:v>
                </c:pt>
                <c:pt idx="912">
                  <c:v>36.639800000001529</c:v>
                </c:pt>
                <c:pt idx="913">
                  <c:v>36.639900000001532</c:v>
                </c:pt>
                <c:pt idx="914">
                  <c:v>36.640000000001535</c:v>
                </c:pt>
                <c:pt idx="915">
                  <c:v>36.640100000001539</c:v>
                </c:pt>
                <c:pt idx="916">
                  <c:v>36.640200000001542</c:v>
                </c:pt>
                <c:pt idx="917">
                  <c:v>36.640300000001545</c:v>
                </c:pt>
                <c:pt idx="918">
                  <c:v>36.640400000001549</c:v>
                </c:pt>
                <c:pt idx="919">
                  <c:v>36.640500000001552</c:v>
                </c:pt>
                <c:pt idx="920">
                  <c:v>36.640600000001555</c:v>
                </c:pt>
                <c:pt idx="921">
                  <c:v>36.640700000001559</c:v>
                </c:pt>
                <c:pt idx="922">
                  <c:v>36.640800000001562</c:v>
                </c:pt>
                <c:pt idx="923">
                  <c:v>36.640900000001565</c:v>
                </c:pt>
                <c:pt idx="924">
                  <c:v>36.641000000001569</c:v>
                </c:pt>
                <c:pt idx="925">
                  <c:v>36.641100000001572</c:v>
                </c:pt>
                <c:pt idx="926">
                  <c:v>36.641200000001575</c:v>
                </c:pt>
                <c:pt idx="927">
                  <c:v>36.641300000001578</c:v>
                </c:pt>
                <c:pt idx="928">
                  <c:v>36.641400000001582</c:v>
                </c:pt>
                <c:pt idx="929">
                  <c:v>36.641500000001585</c:v>
                </c:pt>
                <c:pt idx="930">
                  <c:v>36.641600000001588</c:v>
                </c:pt>
                <c:pt idx="931">
                  <c:v>36.641700000001592</c:v>
                </c:pt>
                <c:pt idx="932">
                  <c:v>36.641800000001595</c:v>
                </c:pt>
                <c:pt idx="933">
                  <c:v>36.641900000001598</c:v>
                </c:pt>
                <c:pt idx="934">
                  <c:v>36.642000000001602</c:v>
                </c:pt>
                <c:pt idx="935">
                  <c:v>36.642100000001605</c:v>
                </c:pt>
                <c:pt idx="936">
                  <c:v>36.642200000001608</c:v>
                </c:pt>
                <c:pt idx="937">
                  <c:v>36.642300000001612</c:v>
                </c:pt>
                <c:pt idx="938">
                  <c:v>36.642400000001615</c:v>
                </c:pt>
                <c:pt idx="939">
                  <c:v>36.642500000001618</c:v>
                </c:pt>
                <c:pt idx="940">
                  <c:v>36.642600000001622</c:v>
                </c:pt>
                <c:pt idx="941">
                  <c:v>36.642700000001625</c:v>
                </c:pt>
                <c:pt idx="942">
                  <c:v>36.642800000001628</c:v>
                </c:pt>
                <c:pt idx="943">
                  <c:v>36.642900000001632</c:v>
                </c:pt>
                <c:pt idx="944">
                  <c:v>36.643000000001635</c:v>
                </c:pt>
                <c:pt idx="945">
                  <c:v>36.643100000001638</c:v>
                </c:pt>
                <c:pt idx="946">
                  <c:v>36.643200000001642</c:v>
                </c:pt>
                <c:pt idx="947">
                  <c:v>36.643300000001645</c:v>
                </c:pt>
                <c:pt idx="948">
                  <c:v>36.643400000001648</c:v>
                </c:pt>
                <c:pt idx="949">
                  <c:v>36.643500000001652</c:v>
                </c:pt>
                <c:pt idx="950">
                  <c:v>36.643600000001655</c:v>
                </c:pt>
                <c:pt idx="951">
                  <c:v>36.643700000001658</c:v>
                </c:pt>
                <c:pt idx="952">
                  <c:v>36.643800000001661</c:v>
                </c:pt>
                <c:pt idx="953">
                  <c:v>36.643900000001665</c:v>
                </c:pt>
                <c:pt idx="954">
                  <c:v>36.644000000001668</c:v>
                </c:pt>
                <c:pt idx="955">
                  <c:v>36.644100000001671</c:v>
                </c:pt>
                <c:pt idx="956">
                  <c:v>36.644200000001675</c:v>
                </c:pt>
                <c:pt idx="957">
                  <c:v>36.644300000001678</c:v>
                </c:pt>
                <c:pt idx="958">
                  <c:v>36.644400000001681</c:v>
                </c:pt>
                <c:pt idx="959">
                  <c:v>36.644500000001685</c:v>
                </c:pt>
                <c:pt idx="960">
                  <c:v>36.644600000001688</c:v>
                </c:pt>
                <c:pt idx="961">
                  <c:v>36.644700000001691</c:v>
                </c:pt>
                <c:pt idx="962">
                  <c:v>36.644800000001695</c:v>
                </c:pt>
                <c:pt idx="963">
                  <c:v>36.644900000001698</c:v>
                </c:pt>
                <c:pt idx="964">
                  <c:v>36.645000000001701</c:v>
                </c:pt>
                <c:pt idx="965">
                  <c:v>36.645100000001705</c:v>
                </c:pt>
                <c:pt idx="966">
                  <c:v>36.645200000001708</c:v>
                </c:pt>
                <c:pt idx="967">
                  <c:v>36.645300000001711</c:v>
                </c:pt>
                <c:pt idx="968">
                  <c:v>36.645400000001715</c:v>
                </c:pt>
                <c:pt idx="969">
                  <c:v>36.645500000001718</c:v>
                </c:pt>
                <c:pt idx="970">
                  <c:v>36.645600000001721</c:v>
                </c:pt>
                <c:pt idx="971">
                  <c:v>36.645700000001725</c:v>
                </c:pt>
                <c:pt idx="972">
                  <c:v>36.645800000001728</c:v>
                </c:pt>
                <c:pt idx="973">
                  <c:v>36.645900000001731</c:v>
                </c:pt>
                <c:pt idx="974">
                  <c:v>36.646000000001735</c:v>
                </c:pt>
                <c:pt idx="975">
                  <c:v>36.646100000001738</c:v>
                </c:pt>
                <c:pt idx="976">
                  <c:v>36.646200000001741</c:v>
                </c:pt>
                <c:pt idx="977">
                  <c:v>36.646300000001744</c:v>
                </c:pt>
                <c:pt idx="978">
                  <c:v>36.646400000001748</c:v>
                </c:pt>
                <c:pt idx="979">
                  <c:v>36.646500000001751</c:v>
                </c:pt>
                <c:pt idx="980">
                  <c:v>36.646600000001754</c:v>
                </c:pt>
                <c:pt idx="981">
                  <c:v>36.646700000001758</c:v>
                </c:pt>
                <c:pt idx="982">
                  <c:v>36.646800000001761</c:v>
                </c:pt>
                <c:pt idx="983">
                  <c:v>36.646900000001764</c:v>
                </c:pt>
                <c:pt idx="984">
                  <c:v>36.647000000001768</c:v>
                </c:pt>
                <c:pt idx="985">
                  <c:v>36.647100000001771</c:v>
                </c:pt>
                <c:pt idx="986">
                  <c:v>36.647200000001774</c:v>
                </c:pt>
                <c:pt idx="987">
                  <c:v>36.647300000001778</c:v>
                </c:pt>
                <c:pt idx="988">
                  <c:v>36.647400000001781</c:v>
                </c:pt>
                <c:pt idx="989">
                  <c:v>36.647500000001784</c:v>
                </c:pt>
                <c:pt idx="990">
                  <c:v>36.647600000001788</c:v>
                </c:pt>
                <c:pt idx="991">
                  <c:v>36.647700000001791</c:v>
                </c:pt>
                <c:pt idx="992">
                  <c:v>36.647800000001794</c:v>
                </c:pt>
                <c:pt idx="993">
                  <c:v>36.647900000001798</c:v>
                </c:pt>
                <c:pt idx="994">
                  <c:v>36.648000000001801</c:v>
                </c:pt>
                <c:pt idx="995">
                  <c:v>36.648100000001804</c:v>
                </c:pt>
                <c:pt idx="996">
                  <c:v>36.648200000001808</c:v>
                </c:pt>
                <c:pt idx="997">
                  <c:v>36.648300000001811</c:v>
                </c:pt>
                <c:pt idx="998">
                  <c:v>36.648400000001814</c:v>
                </c:pt>
                <c:pt idx="999">
                  <c:v>36.648500000001818</c:v>
                </c:pt>
                <c:pt idx="1000">
                  <c:v>36.648600000001821</c:v>
                </c:pt>
              </c:numCache>
            </c:numRef>
          </c:xVal>
          <c:yVal>
            <c:numRef>
              <c:f>Calculs!$AH$4:$AH$1004</c:f>
              <c:numCache>
                <c:formatCode>0.00</c:formatCode>
                <c:ptCount val="1001"/>
                <c:pt idx="0">
                  <c:v>0</c:v>
                </c:pt>
                <c:pt idx="1">
                  <c:v>-4.3677915395676052</c:v>
                </c:pt>
                <c:pt idx="2">
                  <c:v>41.073593999967819</c:v>
                </c:pt>
                <c:pt idx="3">
                  <c:v>60.075757169068837</c:v>
                </c:pt>
                <c:pt idx="4">
                  <c:v>52.681118267075696</c:v>
                </c:pt>
                <c:pt idx="5">
                  <c:v>48.781323814606296</c:v>
                </c:pt>
                <c:pt idx="6">
                  <c:v>48.371093196235719</c:v>
                </c:pt>
                <c:pt idx="7">
                  <c:v>47.961507912921668</c:v>
                </c:pt>
                <c:pt idx="8">
                  <c:v>47.552576547867439</c:v>
                </c:pt>
                <c:pt idx="9">
                  <c:v>47.144307551965397</c:v>
                </c:pt>
                <c:pt idx="10">
                  <c:v>46.736709244126942</c:v>
                </c:pt>
                <c:pt idx="11">
                  <c:v>46.329789811629311</c:v>
                </c:pt>
                <c:pt idx="12">
                  <c:v>45.923557310479232</c:v>
                </c:pt>
                <c:pt idx="13">
                  <c:v>45.518019665792913</c:v>
                </c:pt>
                <c:pt idx="14">
                  <c:v>45.113184672192105</c:v>
                </c:pt>
                <c:pt idx="15">
                  <c:v>44.709059994215963</c:v>
                </c:pt>
                <c:pt idx="16">
                  <c:v>44.305653166748392</c:v>
                </c:pt>
                <c:pt idx="17">
                  <c:v>43.902971595460563</c:v>
                </c:pt>
                <c:pt idx="18">
                  <c:v>43.501022557268264</c:v>
                </c:pt>
                <c:pt idx="19">
                  <c:v>43.099813200803901</c:v>
                </c:pt>
                <c:pt idx="20">
                  <c:v>42.699350546902544</c:v>
                </c:pt>
                <c:pt idx="21">
                  <c:v>42.299641489102129</c:v>
                </c:pt>
                <c:pt idx="22">
                  <c:v>41.900692794157337</c:v>
                </c:pt>
                <c:pt idx="23">
                  <c:v>41.502511102566501</c:v>
                </c:pt>
                <c:pt idx="24">
                  <c:v>41.105102929111979</c:v>
                </c:pt>
                <c:pt idx="25">
                  <c:v>40.708474663412922</c:v>
                </c:pt>
                <c:pt idx="26">
                  <c:v>40.31263257049072</c:v>
                </c:pt>
                <c:pt idx="27">
                  <c:v>39.917582791346433</c:v>
                </c:pt>
                <c:pt idx="28">
                  <c:v>39.523331343550211</c:v>
                </c:pt>
                <c:pt idx="29">
                  <c:v>39.129884121842146</c:v>
                </c:pt>
                <c:pt idx="30">
                  <c:v>38.737246898744537</c:v>
                </c:pt>
                <c:pt idx="31">
                  <c:v>38.34542532518492</c:v>
                </c:pt>
                <c:pt idx="32">
                  <c:v>37.954424931130042</c:v>
                </c:pt>
                <c:pt idx="33">
                  <c:v>37.564251126229991</c:v>
                </c:pt>
                <c:pt idx="34">
                  <c:v>37.174909200472591</c:v>
                </c:pt>
                <c:pt idx="35">
                  <c:v>36.786404324847567</c:v>
                </c:pt>
                <c:pt idx="36">
                  <c:v>36.398741552020255</c:v>
                </c:pt>
                <c:pt idx="37">
                  <c:v>36.011925817014571</c:v>
                </c:pt>
                <c:pt idx="38">
                  <c:v>35.625961937905018</c:v>
                </c:pt>
                <c:pt idx="39">
                  <c:v>35.240854616517296</c:v>
                </c:pt>
                <c:pt idx="40">
                  <c:v>34.856608439137474</c:v>
                </c:pt>
                <c:pt idx="41">
                  <c:v>34.473227877229249</c:v>
                </c:pt>
                <c:pt idx="42">
                  <c:v>34.09071728815907</c:v>
                </c:pt>
                <c:pt idx="43">
                  <c:v>33.709080915929007</c:v>
                </c:pt>
                <c:pt idx="44">
                  <c:v>33.328322891916827</c:v>
                </c:pt>
                <c:pt idx="45">
                  <c:v>32.948447235623377</c:v>
                </c:pt>
                <c:pt idx="46">
                  <c:v>32.569457855426542</c:v>
                </c:pt>
                <c:pt idx="47">
                  <c:v>32.19135854934197</c:v>
                </c:pt>
                <c:pt idx="48">
                  <c:v>31.814153005790192</c:v>
                </c:pt>
                <c:pt idx="49">
                  <c:v>31.437844804369558</c:v>
                </c:pt>
                <c:pt idx="50">
                  <c:v>31.06243741663517</c:v>
                </c:pt>
                <c:pt idx="51">
                  <c:v>30.687934206883458</c:v>
                </c:pt>
                <c:pt idx="52">
                  <c:v>30.314338432941941</c:v>
                </c:pt>
                <c:pt idx="53">
                  <c:v>29.941653246964083</c:v>
                </c:pt>
                <c:pt idx="54">
                  <c:v>29.569881696229189</c:v>
                </c:pt>
                <c:pt idx="55">
                  <c:v>29.199026723946677</c:v>
                </c:pt>
                <c:pt idx="56">
                  <c:v>28.829091170064796</c:v>
                </c:pt>
                <c:pt idx="57">
                  <c:v>28.460077772083746</c:v>
                </c:pt>
                <c:pt idx="58">
                  <c:v>28.091989165872242</c:v>
                </c:pt>
                <c:pt idx="59">
                  <c:v>27.724827886488288</c:v>
                </c:pt>
                <c:pt idx="60">
                  <c:v>27.358596369002967</c:v>
                </c:pt>
                <c:pt idx="61">
                  <c:v>26.993296949327899</c:v>
                </c:pt>
                <c:pt idx="62">
                  <c:v>26.628931865045349</c:v>
                </c:pt>
                <c:pt idx="63">
                  <c:v>25.961390226265763</c:v>
                </c:pt>
                <c:pt idx="64">
                  <c:v>24.991387922495317</c:v>
                </c:pt>
                <c:pt idx="65">
                  <c:v>24.023950756164609</c:v>
                </c:pt>
                <c:pt idx="66">
                  <c:v>23.059092338854846</c:v>
                </c:pt>
                <c:pt idx="67">
                  <c:v>21.817993541320103</c:v>
                </c:pt>
                <c:pt idx="68">
                  <c:v>20.301353969116114</c:v>
                </c:pt>
                <c:pt idx="69">
                  <c:v>18.292907411216579</c:v>
                </c:pt>
                <c:pt idx="70">
                  <c:v>15.793957964788804</c:v>
                </c:pt>
                <c:pt idx="71">
                  <c:v>13.302074639460361</c:v>
                </c:pt>
                <c:pt idx="72">
                  <c:v>10.81733946579021</c:v>
                </c:pt>
                <c:pt idx="73">
                  <c:v>8.3398304294768781</c:v>
                </c:pt>
                <c:pt idx="74">
                  <c:v>5.8696215066013488</c:v>
                </c:pt>
                <c:pt idx="75">
                  <c:v>3.4067826999448232</c:v>
                </c:pt>
                <c:pt idx="76">
                  <c:v>0.95138007632587951</c:v>
                </c:pt>
                <c:pt idx="77">
                  <c:v>-1.4965241950978105</c:v>
                </c:pt>
                <c:pt idx="78">
                  <c:v>-3.9368718036174926</c:v>
                </c:pt>
                <c:pt idx="79">
                  <c:v>-6.3696082569050105</c:v>
                </c:pt>
                <c:pt idx="80">
                  <c:v>-8.7946828401407853</c:v>
                </c:pt>
                <c:pt idx="81">
                  <c:v>-10.621843920368697</c:v>
                </c:pt>
                <c:pt idx="82">
                  <c:v>-11.852922668376102</c:v>
                </c:pt>
                <c:pt idx="83">
                  <c:v>-13.080109927141075</c:v>
                </c:pt>
                <c:pt idx="84">
                  <c:v>-14.303408712758049</c:v>
                </c:pt>
                <c:pt idx="85">
                  <c:v>-15.522822893685722</c:v>
                </c:pt>
                <c:pt idx="86">
                  <c:v>-16.73835717865358</c:v>
                </c:pt>
                <c:pt idx="87">
                  <c:v>-17.950017104600313</c:v>
                </c:pt>
                <c:pt idx="88">
                  <c:v>-19.15780902464877</c:v>
                </c:pt>
                <c:pt idx="89">
                  <c:v>-20.175237180523602</c:v>
                </c:pt>
                <c:pt idx="90">
                  <c:v>-21.002928186813993</c:v>
                </c:pt>
                <c:pt idx="91">
                  <c:v>-21.828035155252895</c:v>
                </c:pt>
                <c:pt idx="92">
                  <c:v>-22.650568983091439</c:v>
                </c:pt>
                <c:pt idx="93">
                  <c:v>-23.423906126757487</c:v>
                </c:pt>
                <c:pt idx="94">
                  <c:v>-24.148214740637744</c:v>
                </c:pt>
                <c:pt idx="95">
                  <c:v>-24.870301560015829</c:v>
                </c:pt>
                <c:pt idx="96">
                  <c:v>-25.590178234672415</c:v>
                </c:pt>
                <c:pt idx="97">
                  <c:v>-26.121294731337482</c:v>
                </c:pt>
                <c:pt idx="98">
                  <c:v>-26.464295511658019</c:v>
                </c:pt>
                <c:pt idx="99">
                  <c:v>-26.80639327332187</c:v>
                </c:pt>
                <c:pt idx="100">
                  <c:v>-27.147595336700643</c:v>
                </c:pt>
                <c:pt idx="101">
                  <c:v>-27.487909039543414</c:v>
                </c:pt>
                <c:pt idx="102">
                  <c:v>-27.827341736442705</c:v>
                </c:pt>
                <c:pt idx="103">
                  <c:v>-28.165900798311359</c:v>
                </c:pt>
                <c:pt idx="104">
                  <c:v>-28.50359361187007</c:v>
                </c:pt>
                <c:pt idx="105">
                  <c:v>-28.840427579145775</c:v>
                </c:pt>
                <c:pt idx="106">
                  <c:v>-29.176410116980527</c:v>
                </c:pt>
                <c:pt idx="107">
                  <c:v>-29.511548656550897</c:v>
                </c:pt>
                <c:pt idx="108">
                  <c:v>-29.845850642898004</c:v>
                </c:pt>
                <c:pt idx="109">
                  <c:v>-29.946091014943217</c:v>
                </c:pt>
                <c:pt idx="110">
                  <c:v>-29.813068801326775</c:v>
                </c:pt>
                <c:pt idx="111">
                  <c:v>-29.680806749991639</c:v>
                </c:pt>
                <c:pt idx="112">
                  <c:v>-29.549299089619044</c:v>
                </c:pt>
                <c:pt idx="113">
                  <c:v>-29.41854010393995</c:v>
                </c:pt>
                <c:pt idx="114">
                  <c:v>-29.288524131104527</c:v>
                </c:pt>
                <c:pt idx="115">
                  <c:v>-29.15924556305978</c:v>
                </c:pt>
                <c:pt idx="116">
                  <c:v>-29.030698844935838</c:v>
                </c:pt>
                <c:pt idx="117">
                  <c:v>-28.902878474440072</c:v>
                </c:pt>
                <c:pt idx="118">
                  <c:v>-28.775779001259501</c:v>
                </c:pt>
                <c:pt idx="119">
                  <c:v>-28.649395026471073</c:v>
                </c:pt>
                <c:pt idx="120">
                  <c:v>-28.523721201959628</c:v>
                </c:pt>
                <c:pt idx="121">
                  <c:v>-28.398752229843716</c:v>
                </c:pt>
                <c:pt idx="122">
                  <c:v>-28.274482861908965</c:v>
                </c:pt>
                <c:pt idx="123">
                  <c:v>-28.150907899048814</c:v>
                </c:pt>
                <c:pt idx="124">
                  <c:v>-28.028022190712647</c:v>
                </c:pt>
                <c:pt idx="125">
                  <c:v>-27.905820634361231</c:v>
                </c:pt>
                <c:pt idx="126">
                  <c:v>-27.784298174929155</c:v>
                </c:pt>
                <c:pt idx="127">
                  <c:v>-27.663449804294412</c:v>
                </c:pt>
                <c:pt idx="128">
                  <c:v>-27.543270560754845</c:v>
                </c:pt>
                <c:pt idx="129">
                  <c:v>-27.423755528511375</c:v>
                </c:pt>
                <c:pt idx="130">
                  <c:v>-27.304899837158032</c:v>
                </c:pt>
                <c:pt idx="131">
                  <c:v>-27.186698661178447</c:v>
                </c:pt>
                <c:pt idx="132">
                  <c:v>-27.069147219449114</c:v>
                </c:pt>
                <c:pt idx="133">
                  <c:v>-26.952240774748805</c:v>
                </c:pt>
                <c:pt idx="134">
                  <c:v>-26.835974633274446</c:v>
                </c:pt>
                <c:pt idx="135">
                  <c:v>-26.720344144163224</c:v>
                </c:pt>
                <c:pt idx="136">
                  <c:v>-26.605344699020804</c:v>
                </c:pt>
                <c:pt idx="137">
                  <c:v>-26.490971731455584</c:v>
                </c:pt>
                <c:pt idx="138">
                  <c:v>-26.377220716618965</c:v>
                </c:pt>
                <c:pt idx="139">
                  <c:v>-26.264087170751424</c:v>
                </c:pt>
                <c:pt idx="140">
                  <c:v>-26.151566650734466</c:v>
                </c:pt>
                <c:pt idx="141">
                  <c:v>-26.039654753648183</c:v>
                </c:pt>
                <c:pt idx="142">
                  <c:v>-25.928347116334479</c:v>
                </c:pt>
                <c:pt idx="143">
                  <c:v>-25.817639414965853</c:v>
                </c:pt>
                <c:pt idx="144">
                  <c:v>-25.707527364619633</c:v>
                </c:pt>
                <c:pt idx="145">
                  <c:v>-25.598006718857544</c:v>
                </c:pt>
                <c:pt idx="146">
                  <c:v>-25.489073269310641</c:v>
                </c:pt>
                <c:pt idx="147">
                  <c:v>-25.380722845269435</c:v>
                </c:pt>
                <c:pt idx="148">
                  <c:v>-25.272951313279162</c:v>
                </c:pt>
                <c:pt idx="149">
                  <c:v>-25.165754576740166</c:v>
                </c:pt>
                <c:pt idx="150">
                  <c:v>-25.059128575513274</c:v>
                </c:pt>
                <c:pt idx="151">
                  <c:v>-24.953069285530002</c:v>
                </c:pt>
                <c:pt idx="152">
                  <c:v>-24.847572718407882</c:v>
                </c:pt>
                <c:pt idx="153">
                  <c:v>-24.742634921070216</c:v>
                </c:pt>
                <c:pt idx="154">
                  <c:v>-24.638251975370913</c:v>
                </c:pt>
                <c:pt idx="155">
                  <c:v>-24.534419997723745</c:v>
                </c:pt>
                <c:pt idx="156">
                  <c:v>-24.431135138736284</c:v>
                </c:pt>
                <c:pt idx="157">
                  <c:v>-24.328393582848371</c:v>
                </c:pt>
                <c:pt idx="158">
                  <c:v>-24.226191547974995</c:v>
                </c:pt>
                <c:pt idx="159">
                  <c:v>-24.124525285153645</c:v>
                </c:pt>
                <c:pt idx="160">
                  <c:v>-24.02339107819596</c:v>
                </c:pt>
                <c:pt idx="161">
                  <c:v>-23.922785243343601</c:v>
                </c:pt>
                <c:pt idx="162">
                  <c:v>-23.822704128928468</c:v>
                </c:pt>
                <c:pt idx="163">
                  <c:v>-23.723144115036988</c:v>
                </c:pt>
                <c:pt idx="164">
                  <c:v>-23.624101613178443</c:v>
                </c:pt>
                <c:pt idx="165">
                  <c:v>-23.525573065957559</c:v>
                </c:pt>
                <c:pt idx="166">
                  <c:v>-23.427554946750771</c:v>
                </c:pt>
                <c:pt idx="167">
                  <c:v>-23.330043759386669</c:v>
                </c:pt>
                <c:pt idx="168">
                  <c:v>-23.233036037830296</c:v>
                </c:pt>
                <c:pt idx="169">
                  <c:v>-23.136528345871064</c:v>
                </c:pt>
                <c:pt idx="170">
                  <c:v>-23.040517276814686</c:v>
                </c:pt>
                <c:pt idx="171">
                  <c:v>-22.944999453178728</c:v>
                </c:pt>
                <c:pt idx="172">
                  <c:v>-22.849971526391723</c:v>
                </c:pt>
                <c:pt idx="173">
                  <c:v>-22.755430176496091</c:v>
                </c:pt>
                <c:pt idx="174">
                  <c:v>-22.661372111854526</c:v>
                </c:pt>
                <c:pt idx="175">
                  <c:v>-22.567794068859847</c:v>
                </c:pt>
                <c:pt idx="176">
                  <c:v>-22.474692811648435</c:v>
                </c:pt>
                <c:pt idx="177">
                  <c:v>-22.382065131817011</c:v>
                </c:pt>
                <c:pt idx="178">
                  <c:v>-22.289907848142807</c:v>
                </c:pt>
                <c:pt idx="179">
                  <c:v>-22.198217806307099</c:v>
                </c:pt>
                <c:pt idx="180">
                  <c:v>-22.106991878621962</c:v>
                </c:pt>
                <c:pt idx="181">
                  <c:v>-22.0162269637603</c:v>
                </c:pt>
                <c:pt idx="182">
                  <c:v>-21.925919986489102</c:v>
                </c:pt>
                <c:pt idx="183">
                  <c:v>-21.83606789740579</c:v>
                </c:pt>
                <c:pt idx="184">
                  <c:v>-21.746667672677713</c:v>
                </c:pt>
                <c:pt idx="185">
                  <c:v>-21.657716313784675</c:v>
                </c:pt>
                <c:pt idx="186">
                  <c:v>-21.569210847264536</c:v>
                </c:pt>
                <c:pt idx="187">
                  <c:v>-21.481148324461806</c:v>
                </c:pt>
                <c:pt idx="188">
                  <c:v>-21.393525821279084</c:v>
                </c:pt>
                <c:pt idx="189">
                  <c:v>-21.306340437931524</c:v>
                </c:pt>
                <c:pt idx="190">
                  <c:v>-21.219589298704125</c:v>
                </c:pt>
                <c:pt idx="191">
                  <c:v>-21.133269551711788</c:v>
                </c:pt>
                <c:pt idx="192">
                  <c:v>-21.047378368662258</c:v>
                </c:pt>
                <c:pt idx="193">
                  <c:v>-20.961912944621812</c:v>
                </c:pt>
                <c:pt idx="194">
                  <c:v>-20.876870497783543</c:v>
                </c:pt>
                <c:pt idx="195">
                  <c:v>-20.792248269238534</c:v>
                </c:pt>
                <c:pt idx="196">
                  <c:v>-20.70804352274946</c:v>
                </c:pt>
                <c:pt idx="197">
                  <c:v>-20.624253544526944</c:v>
                </c:pt>
                <c:pt idx="198">
                  <c:v>-20.540875643008441</c:v>
                </c:pt>
                <c:pt idx="199">
                  <c:v>-20.457907148639709</c:v>
                </c:pt>
                <c:pt idx="200">
                  <c:v>-20.375345413658689</c:v>
                </c:pt>
                <c:pt idx="201">
                  <c:v>-20.293187811881968</c:v>
                </c:pt>
                <c:pt idx="202">
                  <c:v>-19.483881860079904</c:v>
                </c:pt>
                <c:pt idx="203">
                  <c:v>-18.713319085527118</c:v>
                </c:pt>
                <c:pt idx="204">
                  <c:v>-17.979086883308231</c:v>
                </c:pt>
                <c:pt idx="205">
                  <c:v>-17.278959858694201</c:v>
                </c:pt>
                <c:pt idx="206">
                  <c:v>-16.610882597335337</c:v>
                </c:pt>
                <c:pt idx="207">
                  <c:v>-15.972954264757938</c:v>
                </c:pt>
                <c:pt idx="208">
                  <c:v>-15.363414815896828</c:v>
                </c:pt>
                <c:pt idx="209">
                  <c:v>-14.780632624596603</c:v>
                </c:pt>
                <c:pt idx="210">
                  <c:v>-14.22309336794912</c:v>
                </c:pt>
                <c:pt idx="211">
                  <c:v>-13.689390021679632</c:v>
                </c:pt>
                <c:pt idx="212">
                  <c:v>-13.178213841111024</c:v>
                </c:pt>
                <c:pt idx="213">
                  <c:v>-12.688346217991086</c:v>
                </c:pt>
                <c:pt idx="214">
                  <c:v>-12.218651317051073</c:v>
                </c:pt>
                <c:pt idx="215">
                  <c:v>-11.768069407900439</c:v>
                </c:pt>
                <c:pt idx="216">
                  <c:v>-11.33561081802536</c:v>
                </c:pt>
                <c:pt idx="217">
                  <c:v>-10.920350441477202</c:v>
                </c:pt>
                <c:pt idx="218">
                  <c:v>-10.5214227455045</c:v>
                </c:pt>
                <c:pt idx="219">
                  <c:v>-10.138017224061931</c:v>
                </c:pt>
                <c:pt idx="220">
                  <c:v>-9.7693742529603185</c:v>
                </c:pt>
                <c:pt idx="221">
                  <c:v>-9.414781306520732</c:v>
                </c:pt>
                <c:pt idx="222">
                  <c:v>-9.0735695000626517</c:v>
                </c:pt>
                <c:pt idx="223">
                  <c:v>-8.74511042647657</c:v>
                </c:pt>
                <c:pt idx="224">
                  <c:v>-8.4288132585781028</c:v>
                </c:pt>
                <c:pt idx="225">
                  <c:v>-8.1241220919755808</c:v>
                </c:pt>
                <c:pt idx="226">
                  <c:v>-7.8305135058603241</c:v>
                </c:pt>
                <c:pt idx="227">
                  <c:v>-7.5474943214937751</c:v>
                </c:pt>
                <c:pt idx="228">
                  <c:v>-7.2745995402582997</c:v>
                </c:pt>
                <c:pt idx="229">
                  <c:v>-7.0113904449929363</c:v>
                </c:pt>
                <c:pt idx="230">
                  <c:v>-6.7574528499809636</c:v>
                </c:pt>
                <c:pt idx="231">
                  <c:v>-6.5123954864188329</c:v>
                </c:pt>
                <c:pt idx="232">
                  <c:v>-6.2758485114976201</c:v>
                </c:pt>
                <c:pt idx="233">
                  <c:v>-6.0474621303882348</c:v>
                </c:pt>
                <c:pt idx="234">
                  <c:v>-5.8269053214568354</c:v>
                </c:pt>
                <c:pt idx="235">
                  <c:v>-5.6138646559619314</c:v>
                </c:pt>
                <c:pt idx="236">
                  <c:v>-5.40804320431221</c:v>
                </c:pt>
                <c:pt idx="237">
                  <c:v>-5.209159521705681</c:v>
                </c:pt>
                <c:pt idx="238">
                  <c:v>-5.0169467066354718</c:v>
                </c:pt>
                <c:pt idx="239">
                  <c:v>-4.8311515263449198</c:v>
                </c:pt>
                <c:pt idx="240">
                  <c:v>-4.6515336038513153</c:v>
                </c:pt>
                <c:pt idx="241">
                  <c:v>-4.4778646616408793</c:v>
                </c:pt>
                <c:pt idx="242">
                  <c:v>-4.3099278175728424</c:v>
                </c:pt>
                <c:pt idx="243">
                  <c:v>-4.1475169289232934</c:v>
                </c:pt>
                <c:pt idx="244">
                  <c:v>-3.9904359808539698</c:v>
                </c:pt>
                <c:pt idx="245">
                  <c:v>-3.838498515911779</c:v>
                </c:pt>
                <c:pt idx="246">
                  <c:v>-3.6915271014548212</c:v>
                </c:pt>
                <c:pt idx="247">
                  <c:v>-3.5493528321634411</c:v>
                </c:pt>
                <c:pt idx="248">
                  <c:v>-3.4118148650329139</c:v>
                </c:pt>
                <c:pt idx="249">
                  <c:v>-3.2787599844606241</c:v>
                </c:pt>
                <c:pt idx="250">
                  <c:v>-3.1500421952367725</c:v>
                </c:pt>
                <c:pt idx="251">
                  <c:v>-3.0255223414262202</c:v>
                </c:pt>
                <c:pt idx="252">
                  <c:v>-2.9050677492913892</c:v>
                </c:pt>
                <c:pt idx="253">
                  <c:v>-2.7885518925540831</c:v>
                </c:pt>
                <c:pt idx="254">
                  <c:v>-2.6758540784287672</c:v>
                </c:pt>
                <c:pt idx="255">
                  <c:v>-2.5668591529828593</c:v>
                </c:pt>
                <c:pt idx="256">
                  <c:v>-2.4614572244916735</c:v>
                </c:pt>
                <c:pt idx="257">
                  <c:v>-2.3595434035581904</c:v>
                </c:pt>
                <c:pt idx="258">
                  <c:v>-2.2610175588613992</c:v>
                </c:pt>
                <c:pt idx="259">
                  <c:v>-2.1657840874825993</c:v>
                </c:pt>
                <c:pt idx="260">
                  <c:v>-2.0737516988373277</c:v>
                </c:pt>
                <c:pt idx="261">
                  <c:v>-1.9848332113122606</c:v>
                </c:pt>
                <c:pt idx="262">
                  <c:v>-1.8989453607720113</c:v>
                </c:pt>
                <c:pt idx="263">
                  <c:v>-1.8160086201607439</c:v>
                </c:pt>
                <c:pt idx="264">
                  <c:v>-1.7359470294785395</c:v>
                </c:pt>
                <c:pt idx="265">
                  <c:v>-1.6586880354625979</c:v>
                </c:pt>
                <c:pt idx="266">
                  <c:v>-1.584162340349444</c:v>
                </c:pt>
                <c:pt idx="267">
                  <c:v>-1.5123037591361739</c:v>
                </c:pt>
                <c:pt idx="268">
                  <c:v>-1.4430490847971151</c:v>
                </c:pt>
                <c:pt idx="269">
                  <c:v>-1.376337960947124</c:v>
                </c:pt>
                <c:pt idx="270">
                  <c:v>-1.3121127614743213</c:v>
                </c:pt>
                <c:pt idx="271">
                  <c:v>-1.2503184766937252</c:v>
                </c:pt>
                <c:pt idx="272">
                  <c:v>-1.1909026055989165</c:v>
                </c:pt>
                <c:pt idx="273">
                  <c:v>-1.1338150538118879</c:v>
                </c:pt>
                <c:pt idx="274">
                  <c:v>-1.079008036851582</c:v>
                </c:pt>
                <c:pt idx="275">
                  <c:v>-1.0264359883594396</c:v>
                </c:pt>
                <c:pt idx="276">
                  <c:v>-0.97605547293559525</c:v>
                </c:pt>
                <c:pt idx="277">
                  <c:v>-0.92782510325226031</c:v>
                </c:pt>
                <c:pt idx="278">
                  <c:v>-0.8817054611212729</c:v>
                </c:pt>
                <c:pt idx="279">
                  <c:v>-0.8376590222008653</c:v>
                </c:pt>
                <c:pt idx="280">
                  <c:v>-0.79565008403235171</c:v>
                </c:pt>
                <c:pt idx="281">
                  <c:v>-0.75564469710068882</c:v>
                </c:pt>
                <c:pt idx="282">
                  <c:v>-0.7176105986137874</c:v>
                </c:pt>
                <c:pt idx="283">
                  <c:v>-0.68151714869402547</c:v>
                </c:pt>
                <c:pt idx="284">
                  <c:v>-0.64733526867181201</c:v>
                </c:pt>
                <c:pt idx="285">
                  <c:v>-0.61503738116544104</c:v>
                </c:pt>
                <c:pt idx="286">
                  <c:v>-0.58459735162413484</c:v>
                </c:pt>
                <c:pt idx="287">
                  <c:v>-0.55599043100261536</c:v>
                </c:pt>
                <c:pt idx="288">
                  <c:v>-0.52919319922635699</c:v>
                </c:pt>
                <c:pt idx="289">
                  <c:v>-0.50418350909785015</c:v>
                </c:pt>
                <c:pt idx="290">
                  <c:v>-0.48094043028689576</c:v>
                </c:pt>
                <c:pt idx="291">
                  <c:v>-0.45944419304380113</c:v>
                </c:pt>
                <c:pt idx="292">
                  <c:v>-0.4396761312752272</c:v>
                </c:pt>
                <c:pt idx="293">
                  <c:v>-0.4216186246307328</c:v>
                </c:pt>
                <c:pt idx="294">
                  <c:v>-0.40525503926627188</c:v>
                </c:pt>
                <c:pt idx="295">
                  <c:v>-0.39056966698182155</c:v>
                </c:pt>
                <c:pt idx="296">
                  <c:v>-0.37754766247645938</c:v>
                </c:pt>
                <c:pt idx="297">
                  <c:v>-0.36617497852772868</c:v>
                </c:pt>
                <c:pt idx="298">
                  <c:v>-0.35643829898412616</c:v>
                </c:pt>
                <c:pt idx="299">
                  <c:v>-0.34832496955974057</c:v>
                </c:pt>
                <c:pt idx="300">
                  <c:v>-0.34182292653621793</c:v>
                </c:pt>
                <c:pt idx="301">
                  <c:v>-0.33692062360485026</c:v>
                </c:pt>
                <c:pt idx="302">
                  <c:v>-0.33360695721390066</c:v>
                </c:pt>
                <c:pt idx="303">
                  <c:v>-0.33187119091459444</c:v>
                </c:pt>
                <c:pt idx="304">
                  <c:v>-0.33170287931363229</c:v>
                </c:pt>
                <c:pt idx="305">
                  <c:v>-0.33309179233083092</c:v>
                </c:pt>
                <c:pt idx="306">
                  <c:v>-0.33602784051907897</c:v>
                </c:pt>
                <c:pt idx="307">
                  <c:v>-0.34050100222457858</c:v>
                </c:pt>
                <c:pt idx="308">
                  <c:v>-0.34650125334621718</c:v>
                </c:pt>
                <c:pt idx="309">
                  <c:v>-0.35401850039595406</c:v>
                </c:pt>
                <c:pt idx="310">
                  <c:v>-0.36304251747296928</c:v>
                </c:pt>
                <c:pt idx="311">
                  <c:v>-0.37356288765152112</c:v>
                </c:pt>
                <c:pt idx="312">
                  <c:v>-0.38556894915592343</c:v>
                </c:pt>
                <c:pt idx="313">
                  <c:v>-0.39904974656579273</c:v>
                </c:pt>
                <c:pt idx="314">
                  <c:v>-0.41399398716958014</c:v>
                </c:pt>
                <c:pt idx="315">
                  <c:v>-0.43039000247133091</c:v>
                </c:pt>
                <c:pt idx="316">
                  <c:v>-0.44822571475913803</c:v>
                </c:pt>
                <c:pt idx="317">
                  <c:v>-0.46748860856619873</c:v>
                </c:pt>
                <c:pt idx="318">
                  <c:v>-0.48816570679701771</c:v>
                </c:pt>
                <c:pt idx="319">
                  <c:v>-0.51024355125095966</c:v>
                </c:pt>
                <c:pt idx="320">
                  <c:v>-0.53370818725087699</c:v>
                </c:pt>
                <c:pt idx="321">
                  <c:v>-0.5585451520732877</c:v>
                </c:pt>
                <c:pt idx="322">
                  <c:v>-0.58473946687576706</c:v>
                </c:pt>
                <c:pt idx="323">
                  <c:v>-0.61227563182423328</c:v>
                </c:pt>
                <c:pt idx="324">
                  <c:v>-0.64113762413532183</c:v>
                </c:pt>
                <c:pt idx="325">
                  <c:v>-0.67130889876510502</c:v>
                </c:pt>
                <c:pt idx="326">
                  <c:v>-0.70277239149347248</c:v>
                </c:pt>
                <c:pt idx="327">
                  <c:v>-0.73551052417236018</c:v>
                </c:pt>
                <c:pt idx="328">
                  <c:v>-0.76950521192482912</c:v>
                </c:pt>
                <c:pt idx="329">
                  <c:v>-0.80473787210015224</c:v>
                </c:pt>
                <c:pt idx="330">
                  <c:v>-0.84118943480719999</c:v>
                </c:pt>
                <c:pt idx="331">
                  <c:v>-0.87884035486427203</c:v>
                </c:pt>
                <c:pt idx="332">
                  <c:v>-0.91767062501802465</c:v>
                </c:pt>
                <c:pt idx="333">
                  <c:v>-0.95765979029727055</c:v>
                </c:pt>
                <c:pt idx="334">
                  <c:v>-0.9987869633792007</c:v>
                </c:pt>
                <c:pt idx="335">
                  <c:v>-1.0410308408561186</c:v>
                </c:pt>
                <c:pt idx="336">
                  <c:v>-1.0843697203001084</c:v>
                </c:pt>
                <c:pt idx="337">
                  <c:v>-1.128781518031398</c:v>
                </c:pt>
                <c:pt idx="338">
                  <c:v>-1.1742437875035026</c:v>
                </c:pt>
                <c:pt idx="339">
                  <c:v>-1.2207337382247934</c:v>
                </c:pt>
                <c:pt idx="340">
                  <c:v>-1.2682282551419075</c:v>
                </c:pt>
                <c:pt idx="341">
                  <c:v>-1.3167039184155687</c:v>
                </c:pt>
                <c:pt idx="342">
                  <c:v>-1.366137023524</c:v>
                </c:pt>
                <c:pt idx="343">
                  <c:v>-1.4165036016332142</c:v>
                </c:pt>
                <c:pt idx="344">
                  <c:v>-1.4677794401771973</c:v>
                </c:pt>
                <c:pt idx="345">
                  <c:v>-1.5199401035943316</c:v>
                </c:pt>
                <c:pt idx="346">
                  <c:v>-1.57296095416951</c:v>
                </c:pt>
                <c:pt idx="347">
                  <c:v>-1.6268171729341558</c:v>
                </c:pt>
                <c:pt idx="348">
                  <c:v>-1.6814837805789913</c:v>
                </c:pt>
                <c:pt idx="349">
                  <c:v>-1.7369356583367808</c:v>
                </c:pt>
                <c:pt idx="350">
                  <c:v>-1.7931475687945704</c:v>
                </c:pt>
                <c:pt idx="351">
                  <c:v>-1.8500941765970225</c:v>
                </c:pt>
                <c:pt idx="352">
                  <c:v>-1.9077500690045159</c:v>
                </c:pt>
                <c:pt idx="353">
                  <c:v>-1.9660897762715694</c:v>
                </c:pt>
                <c:pt idx="354">
                  <c:v>-2.0250877918130135</c:v>
                </c:pt>
                <c:pt idx="355">
                  <c:v>-2.0847185921271083</c:v>
                </c:pt>
                <c:pt idx="356">
                  <c:v>-2.1449566564465394</c:v>
                </c:pt>
                <c:pt idx="357">
                  <c:v>-2.205776486089881</c:v>
                </c:pt>
                <c:pt idx="358">
                  <c:v>-2.2671526234877657</c:v>
                </c:pt>
                <c:pt idx="359">
                  <c:v>-2.3290596708595781</c:v>
                </c:pt>
                <c:pt idx="360">
                  <c:v>-2.3914723085180598</c:v>
                </c:pt>
                <c:pt idx="361">
                  <c:v>-2.4543653127807223</c:v>
                </c:pt>
                <c:pt idx="362">
                  <c:v>-2.5177135734684857</c:v>
                </c:pt>
                <c:pt idx="363">
                  <c:v>-2.581492110973413</c:v>
                </c:pt>
                <c:pt idx="364">
                  <c:v>-2.6456760928788543</c:v>
                </c:pt>
                <c:pt idx="365">
                  <c:v>-2.7102408501167323</c:v>
                </c:pt>
                <c:pt idx="366">
                  <c:v>-2.7751618926480806</c:v>
                </c:pt>
                <c:pt idx="367">
                  <c:v>-2.8404149246543358</c:v>
                </c:pt>
                <c:pt idx="368">
                  <c:v>-2.9059758592281568</c:v>
                </c:pt>
                <c:pt idx="369">
                  <c:v>-2.9718208325539246</c:v>
                </c:pt>
                <c:pt idx="370">
                  <c:v>-3.0379262175692872</c:v>
                </c:pt>
                <c:pt idx="371">
                  <c:v>-3.104268637100402</c:v>
                </c:pt>
                <c:pt idx="372">
                  <c:v>-3.1708249764647038</c:v>
                </c:pt>
                <c:pt idx="373">
                  <c:v>-3.2375723955362479</c:v>
                </c:pt>
                <c:pt idx="374">
                  <c:v>-3.304488340269796</c:v>
                </c:pt>
                <c:pt idx="375">
                  <c:v>-3.3715505536809318</c:v>
                </c:pt>
                <c:pt idx="376">
                  <c:v>-3.4387370862805891</c:v>
                </c:pt>
                <c:pt idx="377">
                  <c:v>-3.5060263059633874</c:v>
                </c:pt>
                <c:pt idx="378">
                  <c:v>-3.5733969073501974</c:v>
                </c:pt>
                <c:pt idx="379">
                  <c:v>-3.6408279205863359</c:v>
                </c:pt>
                <c:pt idx="380">
                  <c:v>-3.7082987195976687</c:v>
                </c:pt>
                <c:pt idx="381">
                  <c:v>-3.7757890298078585</c:v>
                </c:pt>
                <c:pt idx="382">
                  <c:v>-3.8432789353208032</c:v>
                </c:pt>
                <c:pt idx="383">
                  <c:v>-3.9107488855730823</c:v>
                </c:pt>
                <c:pt idx="384">
                  <c:v>-3.9781797014621336</c:v>
                </c:pt>
                <c:pt idx="385">
                  <c:v>-4.0455525809564374</c:v>
                </c:pt>
                <c:pt idx="386">
                  <c:v>-4.1128491041947974</c:v>
                </c:pt>
                <c:pt idx="387">
                  <c:v>-4.1800512380824166</c:v>
                </c:pt>
                <c:pt idx="388">
                  <c:v>-4.2471413403920861</c:v>
                </c:pt>
                <c:pt idx="389">
                  <c:v>-4.3141021633793208</c:v>
                </c:pt>
                <c:pt idx="390">
                  <c:v>-4.3809168569208774</c:v>
                </c:pt>
                <c:pt idx="391">
                  <c:v>-4.447568971186576</c:v>
                </c:pt>
                <c:pt idx="392">
                  <c:v>-4.5140424588546626</c:v>
                </c:pt>
                <c:pt idx="393">
                  <c:v>-4.5803216768815993</c:v>
                </c:pt>
                <c:pt idx="394">
                  <c:v>-4.6463913878372631</c:v>
                </c:pt>
                <c:pt idx="395">
                  <c:v>-4.7122367608171505</c:v>
                </c:pt>
                <c:pt idx="396">
                  <c:v>-4.777843371943221</c:v>
                </c:pt>
                <c:pt idx="397">
                  <c:v>-4.8431972044654925</c:v>
                </c:pt>
                <c:pt idx="398">
                  <c:v>-4.9082846484765659</c:v>
                </c:pt>
                <c:pt idx="399">
                  <c:v>-4.9730925002516031</c:v>
                </c:pt>
                <c:pt idx="400">
                  <c:v>-5.0376079612262741</c:v>
                </c:pt>
                <c:pt idx="401">
                  <c:v>-5.1018186366254934</c:v>
                </c:pt>
                <c:pt idx="402">
                  <c:v>-5.1657125337557055</c:v>
                </c:pt>
                <c:pt idx="403">
                  <c:v>-5.2292780599737307</c:v>
                </c:pt>
                <c:pt idx="404">
                  <c:v>-5.2925040203450022</c:v>
                </c:pt>
                <c:pt idx="405">
                  <c:v>-5.3553796150042361</c:v>
                </c:pt>
                <c:pt idx="406">
                  <c:v>-5.4178944362315118</c:v>
                </c:pt>
                <c:pt idx="407">
                  <c:v>-5.4800384652565821</c:v>
                </c:pt>
                <c:pt idx="408">
                  <c:v>-5.5418020688043983</c:v>
                </c:pt>
                <c:pt idx="409">
                  <c:v>-5.6031759953945279</c:v>
                </c:pt>
                <c:pt idx="410">
                  <c:v>-5.6641513714072174</c:v>
                </c:pt>
                <c:pt idx="411">
                  <c:v>-5.7247196969286112</c:v>
                </c:pt>
                <c:pt idx="412">
                  <c:v>-5.7848728413875632</c:v>
                </c:pt>
                <c:pt idx="413">
                  <c:v>-5.8446030389962793</c:v>
                </c:pt>
                <c:pt idx="414">
                  <c:v>-5.9039028840069134</c:v>
                </c:pt>
                <c:pt idx="415">
                  <c:v>-5.9627653257959672</c:v>
                </c:pt>
                <c:pt idx="416">
                  <c:v>-6.0211836637881939</c:v>
                </c:pt>
                <c:pt idx="417">
                  <c:v>-6.0791515422314939</c:v>
                </c:pt>
                <c:pt idx="418">
                  <c:v>-6.1366629448340477</c:v>
                </c:pt>
                <c:pt idx="419">
                  <c:v>-6.1937121892746347</c:v>
                </c:pt>
                <c:pt idx="420">
                  <c:v>-6.2502939215970166</c:v>
                </c:pt>
                <c:pt idx="421">
                  <c:v>-6.3064031104987128</c:v>
                </c:pt>
                <c:pt idx="422">
                  <c:v>-6.3620350415245843</c:v>
                </c:pt>
                <c:pt idx="423">
                  <c:v>-6.4171853111750217</c:v>
                </c:pt>
                <c:pt idx="424">
                  <c:v>-6.471849820938572</c:v>
                </c:pt>
                <c:pt idx="425">
                  <c:v>-6.5260247712582498</c:v>
                </c:pt>
                <c:pt idx="426">
                  <c:v>-6.5797066554408108</c:v>
                </c:pt>
                <c:pt idx="427">
                  <c:v>-6.6328922535176709</c:v>
                </c:pt>
                <c:pt idx="428">
                  <c:v>-6.6855786260660874</c:v>
                </c:pt>
                <c:pt idx="429">
                  <c:v>-6.7377631079988358</c:v>
                </c:pt>
                <c:pt idx="430">
                  <c:v>-6.7894433023302678</c:v>
                </c:pt>
                <c:pt idx="431">
                  <c:v>-6.8406170739264658</c:v>
                </c:pt>
                <c:pt idx="432">
                  <c:v>-6.8912825432468274</c:v>
                </c:pt>
                <c:pt idx="433">
                  <c:v>-6.9414380800841053</c:v>
                </c:pt>
                <c:pt idx="434">
                  <c:v>-6.991082297309724</c:v>
                </c:pt>
                <c:pt idx="435">
                  <c:v>-7.0402140446308135</c:v>
                </c:pt>
                <c:pt idx="436">
                  <c:v>-7.0888324023651457</c:v>
                </c:pt>
                <c:pt idx="437">
                  <c:v>-7.1369366752399221</c:v>
                </c:pt>
                <c:pt idx="438">
                  <c:v>-7.1845263862199484</c:v>
                </c:pt>
                <c:pt idx="439">
                  <c:v>-7.2316012703706551</c:v>
                </c:pt>
                <c:pt idx="440">
                  <c:v>-7.278161268760921</c:v>
                </c:pt>
                <c:pt idx="441">
                  <c:v>-7.3242065224105941</c:v>
                </c:pt>
                <c:pt idx="442">
                  <c:v>-7.3697373662871515</c:v>
                </c:pt>
                <c:pt idx="443">
                  <c:v>-7.4147543233559032</c:v>
                </c:pt>
                <c:pt idx="444">
                  <c:v>-7.4592580986875934</c:v>
                </c:pt>
                <c:pt idx="445">
                  <c:v>-7.5032495736273797</c:v>
                </c:pt>
                <c:pt idx="446">
                  <c:v>-7.5467298000285208</c:v>
                </c:pt>
                <c:pt idx="447">
                  <c:v>-7.5896999945542136</c:v>
                </c:pt>
                <c:pt idx="448">
                  <c:v>-7.6321615330505663</c:v>
                </c:pt>
                <c:pt idx="449">
                  <c:v>-7.6741159449936012</c:v>
                </c:pt>
                <c:pt idx="450">
                  <c:v>-7.7155649080128743</c:v>
                </c:pt>
                <c:pt idx="451">
                  <c:v>-7.7565102424941168</c:v>
                </c:pt>
                <c:pt idx="452">
                  <c:v>-7.7969539062631448</c:v>
                </c:pt>
                <c:pt idx="453">
                  <c:v>-7.8368979893530222</c:v>
                </c:pt>
                <c:pt idx="454">
                  <c:v>-7.8763447088562994</c:v>
                </c:pt>
                <c:pt idx="455">
                  <c:v>-7.9152964038639002</c:v>
                </c:pt>
                <c:pt idx="456">
                  <c:v>-7.9537555304922343</c:v>
                </c:pt>
                <c:pt idx="457">
                  <c:v>-7.9917246569997191</c:v>
                </c:pt>
                <c:pt idx="458">
                  <c:v>-8.0292064589937873</c:v>
                </c:pt>
                <c:pt idx="459">
                  <c:v>-8.0662037147294789</c:v>
                </c:pt>
                <c:pt idx="460">
                  <c:v>-8.1027193005002776</c:v>
                </c:pt>
                <c:pt idx="461">
                  <c:v>-8.1387561861219009</c:v>
                </c:pt>
                <c:pt idx="462">
                  <c:v>-8.1743174305095856</c:v>
                </c:pt>
                <c:pt idx="463">
                  <c:v>-8.2094061773491767</c:v>
                </c:pt>
                <c:pt idx="464">
                  <c:v>-8.2440256508623371</c:v>
                </c:pt>
                <c:pt idx="465">
                  <c:v>-8.2781791516660075</c:v>
                </c:pt>
                <c:pt idx="466">
                  <c:v>-8.3118700527260145</c:v>
                </c:pt>
                <c:pt idx="467">
                  <c:v>-8.345101795404906</c:v>
                </c:pt>
                <c:pt idx="468">
                  <c:v>-8.3778778856036862</c:v>
                </c:pt>
                <c:pt idx="469">
                  <c:v>-8.4102018899971824</c:v>
                </c:pt>
                <c:pt idx="470">
                  <c:v>-8.442077432362634</c:v>
                </c:pt>
                <c:pt idx="471">
                  <c:v>-8.4735081900010503</c:v>
                </c:pt>
                <c:pt idx="472">
                  <c:v>-8.5044978902507644</c:v>
                </c:pt>
                <c:pt idx="473">
                  <c:v>-8.5350503070924653</c:v>
                </c:pt>
                <c:pt idx="474">
                  <c:v>-8.5651692578450991</c:v>
                </c:pt>
                <c:pt idx="475">
                  <c:v>-8.5948585999517615</c:v>
                </c:pt>
                <c:pt idx="476">
                  <c:v>-8.6241222278547589</c:v>
                </c:pt>
                <c:pt idx="477">
                  <c:v>-8.6529640699589354</c:v>
                </c:pt>
                <c:pt idx="478">
                  <c:v>-8.6813880856822454</c:v>
                </c:pt>
                <c:pt idx="479">
                  <c:v>-8.7093982625926518</c:v>
                </c:pt>
                <c:pt idx="480">
                  <c:v>-8.736998613630103</c:v>
                </c:pt>
                <c:pt idx="481">
                  <c:v>-8.7641931744127231</c:v>
                </c:pt>
                <c:pt idx="482">
                  <c:v>-8.790986000625777</c:v>
                </c:pt>
                <c:pt idx="483">
                  <c:v>-8.8173811654924616</c:v>
                </c:pt>
                <c:pt idx="484">
                  <c:v>-8.8433827573251929</c:v>
                </c:pt>
                <c:pt idx="485">
                  <c:v>-8.8689948771560783</c:v>
                </c:pt>
                <c:pt idx="486">
                  <c:v>-8.8942216364454403</c:v>
                </c:pt>
                <c:pt idx="487">
                  <c:v>-8.9190671548669531</c:v>
                </c:pt>
                <c:pt idx="488">
                  <c:v>-8.9435355581681399</c:v>
                </c:pt>
                <c:pt idx="489">
                  <c:v>-8.9676309761048927</c:v>
                </c:pt>
                <c:pt idx="490">
                  <c:v>-8.9913575404485613</c:v>
                </c:pt>
                <c:pt idx="491">
                  <c:v>-9.0147193830644152</c:v>
                </c:pt>
                <c:pt idx="492">
                  <c:v>-9.0377206340599177</c:v>
                </c:pt>
                <c:pt idx="493">
                  <c:v>-9.0603654200015207</c:v>
                </c:pt>
                <c:pt idx="494">
                  <c:v>-9.0826578621985821</c:v>
                </c:pt>
                <c:pt idx="495">
                  <c:v>-9.1046020750529841</c:v>
                </c:pt>
                <c:pt idx="496">
                  <c:v>-9.1262021644730495</c:v>
                </c:pt>
                <c:pt idx="497">
                  <c:v>-9.1474622263503598</c:v>
                </c:pt>
                <c:pt idx="498">
                  <c:v>-9.1683863450981153</c:v>
                </c:pt>
                <c:pt idx="499">
                  <c:v>-9.1889785922495477</c:v>
                </c:pt>
                <c:pt idx="500">
                  <c:v>-9.2092430251151107</c:v>
                </c:pt>
                <c:pt idx="501">
                  <c:v>-9.2291836854969578</c:v>
                </c:pt>
                <c:pt idx="502">
                  <c:v>-9.2488045984594489</c:v>
                </c:pt>
                <c:pt idx="503">
                  <c:v>-9.2681097711541405</c:v>
                </c:pt>
                <c:pt idx="504">
                  <c:v>-9.2871031916981011</c:v>
                </c:pt>
                <c:pt idx="505">
                  <c:v>-9.305788828104097</c:v>
                </c:pt>
                <c:pt idx="506">
                  <c:v>-9.3241706272612799</c:v>
                </c:pt>
                <c:pt idx="507">
                  <c:v>-9.3422525139651675</c:v>
                </c:pt>
                <c:pt idx="508">
                  <c:v>-9.3600383899955126</c:v>
                </c:pt>
                <c:pt idx="509">
                  <c:v>-9.3775321332408001</c:v>
                </c:pt>
                <c:pt idx="510">
                  <c:v>-9.394737596868147</c:v>
                </c:pt>
                <c:pt idx="511">
                  <c:v>-9.4116586085372322</c:v>
                </c:pt>
                <c:pt idx="512">
                  <c:v>-9.4282989696571331</c:v>
                </c:pt>
                <c:pt idx="513">
                  <c:v>-9.4446624546847673</c:v>
                </c:pt>
                <c:pt idx="514">
                  <c:v>-9.4607528104637364</c:v>
                </c:pt>
                <c:pt idx="515">
                  <c:v>-9.4765737556024661</c:v>
                </c:pt>
                <c:pt idx="516">
                  <c:v>-9.4765892948542625</c:v>
                </c:pt>
                <c:pt idx="517">
                  <c:v>-9.4766048338451494</c:v>
                </c:pt>
                <c:pt idx="518">
                  <c:v>-9.4766203725751268</c:v>
                </c:pt>
                <c:pt idx="519">
                  <c:v>-9.4766359110442053</c:v>
                </c:pt>
                <c:pt idx="520">
                  <c:v>-9.4766514492523886</c:v>
                </c:pt>
                <c:pt idx="521">
                  <c:v>-9.4766669871996729</c:v>
                </c:pt>
                <c:pt idx="522">
                  <c:v>-9.4766825248860673</c:v>
                </c:pt>
                <c:pt idx="523">
                  <c:v>-9.4766980623115717</c:v>
                </c:pt>
                <c:pt idx="524">
                  <c:v>-9.4767135994761933</c:v>
                </c:pt>
                <c:pt idx="525">
                  <c:v>-9.4767291363799373</c:v>
                </c:pt>
                <c:pt idx="526">
                  <c:v>-9.4767446730227984</c:v>
                </c:pt>
                <c:pt idx="527">
                  <c:v>-9.4767602094047891</c:v>
                </c:pt>
                <c:pt idx="528">
                  <c:v>-9.4767757455259112</c:v>
                </c:pt>
                <c:pt idx="529">
                  <c:v>-9.4767912813861663</c:v>
                </c:pt>
                <c:pt idx="530">
                  <c:v>-9.4768068169855599</c:v>
                </c:pt>
                <c:pt idx="531">
                  <c:v>-9.4768223523240973</c:v>
                </c:pt>
                <c:pt idx="532">
                  <c:v>-9.4768378874017731</c:v>
                </c:pt>
                <c:pt idx="533">
                  <c:v>-9.4768534222185963</c:v>
                </c:pt>
                <c:pt idx="534">
                  <c:v>-9.4768689567745739</c:v>
                </c:pt>
                <c:pt idx="535">
                  <c:v>-9.4768844910697077</c:v>
                </c:pt>
                <c:pt idx="536">
                  <c:v>-9.476900025104003</c:v>
                </c:pt>
                <c:pt idx="537">
                  <c:v>-9.4769155588774563</c:v>
                </c:pt>
                <c:pt idx="538">
                  <c:v>-9.4769310923900729</c:v>
                </c:pt>
                <c:pt idx="539">
                  <c:v>-9.4769466256418706</c:v>
                </c:pt>
                <c:pt idx="540">
                  <c:v>-9.4769621586328263</c:v>
                </c:pt>
                <c:pt idx="541">
                  <c:v>-9.4769776913629666</c:v>
                </c:pt>
                <c:pt idx="542">
                  <c:v>-9.476993223832288</c:v>
                </c:pt>
                <c:pt idx="543">
                  <c:v>-9.4770087560407941</c:v>
                </c:pt>
                <c:pt idx="544">
                  <c:v>-9.4770242879884847</c:v>
                </c:pt>
                <c:pt idx="545">
                  <c:v>-9.4770398196753654</c:v>
                </c:pt>
                <c:pt idx="546">
                  <c:v>-9.477055351101443</c:v>
                </c:pt>
                <c:pt idx="547">
                  <c:v>-9.4770708822667196</c:v>
                </c:pt>
                <c:pt idx="548">
                  <c:v>-9.4770864131711985</c:v>
                </c:pt>
                <c:pt idx="549">
                  <c:v>-9.477101943814878</c:v>
                </c:pt>
                <c:pt idx="550">
                  <c:v>-9.4771174741977724</c:v>
                </c:pt>
                <c:pt idx="551">
                  <c:v>-9.477133004319878</c:v>
                </c:pt>
                <c:pt idx="552">
                  <c:v>-9.4771485341811967</c:v>
                </c:pt>
                <c:pt idx="553">
                  <c:v>-9.4771640637817391</c:v>
                </c:pt>
                <c:pt idx="554">
                  <c:v>-9.4771795931215053</c:v>
                </c:pt>
                <c:pt idx="555">
                  <c:v>-9.4771951222004969</c:v>
                </c:pt>
                <c:pt idx="556">
                  <c:v>-9.4772106510187175</c:v>
                </c:pt>
                <c:pt idx="557">
                  <c:v>-9.4772261795761743</c:v>
                </c:pt>
                <c:pt idx="558">
                  <c:v>-9.4772417078728655</c:v>
                </c:pt>
                <c:pt idx="559">
                  <c:v>-9.4772572359087999</c:v>
                </c:pt>
                <c:pt idx="560">
                  <c:v>-9.4772727636839775</c:v>
                </c:pt>
                <c:pt idx="561">
                  <c:v>-9.4772882911984091</c:v>
                </c:pt>
                <c:pt idx="562">
                  <c:v>-9.4773038184520857</c:v>
                </c:pt>
                <c:pt idx="563">
                  <c:v>-9.4773193454450233</c:v>
                </c:pt>
                <c:pt idx="564">
                  <c:v>-9.4773348721772166</c:v>
                </c:pt>
                <c:pt idx="565">
                  <c:v>-9.4773503986486709</c:v>
                </c:pt>
                <c:pt idx="566">
                  <c:v>-9.4773659248593969</c:v>
                </c:pt>
                <c:pt idx="567">
                  <c:v>-9.4773814508093874</c:v>
                </c:pt>
                <c:pt idx="568">
                  <c:v>-9.477396976498655</c:v>
                </c:pt>
                <c:pt idx="569">
                  <c:v>-9.4774125019271924</c:v>
                </c:pt>
                <c:pt idx="570">
                  <c:v>-9.4774280270950175</c:v>
                </c:pt>
                <c:pt idx="571">
                  <c:v>-9.4774435520021285</c:v>
                </c:pt>
                <c:pt idx="572">
                  <c:v>-9.4774590766485218</c:v>
                </c:pt>
                <c:pt idx="573">
                  <c:v>-9.4774746010342117</c:v>
                </c:pt>
                <c:pt idx="574">
                  <c:v>-9.4774901251591892</c:v>
                </c:pt>
                <c:pt idx="575">
                  <c:v>-9.4775056490234686</c:v>
                </c:pt>
                <c:pt idx="576">
                  <c:v>-9.4775211726270516</c:v>
                </c:pt>
                <c:pt idx="577">
                  <c:v>-9.4775366959699419</c:v>
                </c:pt>
                <c:pt idx="578">
                  <c:v>-9.4775522190521393</c:v>
                </c:pt>
                <c:pt idx="579">
                  <c:v>-9.4775677418736475</c:v>
                </c:pt>
                <c:pt idx="580">
                  <c:v>-9.47758326443447</c:v>
                </c:pt>
                <c:pt idx="581">
                  <c:v>-9.4775987867346139</c:v>
                </c:pt>
                <c:pt idx="582">
                  <c:v>-9.4776143087740863</c:v>
                </c:pt>
                <c:pt idx="583">
                  <c:v>-9.4776298305528819</c:v>
                </c:pt>
                <c:pt idx="584">
                  <c:v>-9.477645352071006</c:v>
                </c:pt>
                <c:pt idx="585">
                  <c:v>-9.4776608733284711</c:v>
                </c:pt>
                <c:pt idx="586">
                  <c:v>-9.47767639432527</c:v>
                </c:pt>
                <c:pt idx="587">
                  <c:v>-9.4776919150614116</c:v>
                </c:pt>
                <c:pt idx="588">
                  <c:v>-9.4777074355368942</c:v>
                </c:pt>
                <c:pt idx="589">
                  <c:v>-9.4777229557517266</c:v>
                </c:pt>
                <c:pt idx="590">
                  <c:v>-9.4777384757059142</c:v>
                </c:pt>
                <c:pt idx="591">
                  <c:v>-9.4777539953994552</c:v>
                </c:pt>
                <c:pt idx="592">
                  <c:v>-9.477769514832362</c:v>
                </c:pt>
                <c:pt idx="593">
                  <c:v>-9.4777850340046186</c:v>
                </c:pt>
                <c:pt idx="594">
                  <c:v>-9.4778005529162481</c:v>
                </c:pt>
                <c:pt idx="595">
                  <c:v>-9.4778160715672435</c:v>
                </c:pt>
                <c:pt idx="596">
                  <c:v>-9.4778315899576207</c:v>
                </c:pt>
                <c:pt idx="597">
                  <c:v>-9.477847108087369</c:v>
                </c:pt>
                <c:pt idx="598">
                  <c:v>-9.4778626259565026</c:v>
                </c:pt>
                <c:pt idx="599">
                  <c:v>-9.4778781435650199</c:v>
                </c:pt>
                <c:pt idx="600">
                  <c:v>-9.4778936609129225</c:v>
                </c:pt>
                <c:pt idx="601">
                  <c:v>-9.4779091780002211</c:v>
                </c:pt>
                <c:pt idx="602">
                  <c:v>-9.4779246948269122</c:v>
                </c:pt>
                <c:pt idx="603">
                  <c:v>-9.4779402113930011</c:v>
                </c:pt>
                <c:pt idx="604">
                  <c:v>-9.4779557276984914</c:v>
                </c:pt>
                <c:pt idx="605">
                  <c:v>-9.4779712437433847</c:v>
                </c:pt>
                <c:pt idx="606">
                  <c:v>-9.4779867595276954</c:v>
                </c:pt>
                <c:pt idx="607">
                  <c:v>-9.4780022750514146</c:v>
                </c:pt>
                <c:pt idx="608">
                  <c:v>-9.478017790314551</c:v>
                </c:pt>
                <c:pt idx="609">
                  <c:v>-9.4780333053171049</c:v>
                </c:pt>
                <c:pt idx="610">
                  <c:v>-9.4780488200590902</c:v>
                </c:pt>
                <c:pt idx="611">
                  <c:v>-9.4780643345404947</c:v>
                </c:pt>
                <c:pt idx="612">
                  <c:v>-9.4780798487613307</c:v>
                </c:pt>
                <c:pt idx="613">
                  <c:v>-9.4780953627216054</c:v>
                </c:pt>
                <c:pt idx="614">
                  <c:v>-9.4781108764213187</c:v>
                </c:pt>
                <c:pt idx="615">
                  <c:v>-9.4781263898604671</c:v>
                </c:pt>
                <c:pt idx="616">
                  <c:v>-9.4781419030390666</c:v>
                </c:pt>
                <c:pt idx="617">
                  <c:v>-9.4781574159571083</c:v>
                </c:pt>
                <c:pt idx="618">
                  <c:v>-9.4781729286146081</c:v>
                </c:pt>
                <c:pt idx="619">
                  <c:v>-9.4781884410115573</c:v>
                </c:pt>
                <c:pt idx="620">
                  <c:v>-9.4782039531479736</c:v>
                </c:pt>
                <c:pt idx="621">
                  <c:v>-9.4782194650238498</c:v>
                </c:pt>
                <c:pt idx="622">
                  <c:v>-9.4782349766391967</c:v>
                </c:pt>
                <c:pt idx="623">
                  <c:v>-9.4782504879940088</c:v>
                </c:pt>
                <c:pt idx="624">
                  <c:v>-9.4782659990882934</c:v>
                </c:pt>
                <c:pt idx="625">
                  <c:v>-9.4782815099220592</c:v>
                </c:pt>
                <c:pt idx="626">
                  <c:v>-9.4782970204952974</c:v>
                </c:pt>
                <c:pt idx="627">
                  <c:v>-9.4783125308080365</c:v>
                </c:pt>
                <c:pt idx="628">
                  <c:v>-9.4783280408602479</c:v>
                </c:pt>
                <c:pt idx="629">
                  <c:v>-9.4783435506519567</c:v>
                </c:pt>
                <c:pt idx="630">
                  <c:v>-9.4783590601831644</c:v>
                </c:pt>
                <c:pt idx="631">
                  <c:v>-9.4783745694538695</c:v>
                </c:pt>
                <c:pt idx="632">
                  <c:v>-9.4783900784640807</c:v>
                </c:pt>
                <c:pt idx="633">
                  <c:v>-9.4784055872137891</c:v>
                </c:pt>
                <c:pt idx="634">
                  <c:v>-9.4784210957030108</c:v>
                </c:pt>
                <c:pt idx="635">
                  <c:v>-9.478436603931744</c:v>
                </c:pt>
                <c:pt idx="636">
                  <c:v>-9.4784521118999905</c:v>
                </c:pt>
                <c:pt idx="637">
                  <c:v>-9.478467619607768</c:v>
                </c:pt>
                <c:pt idx="638">
                  <c:v>-9.478483127055064</c:v>
                </c:pt>
                <c:pt idx="639">
                  <c:v>-9.4784986342418804</c:v>
                </c:pt>
                <c:pt idx="640">
                  <c:v>-9.4785141411682368</c:v>
                </c:pt>
                <c:pt idx="641">
                  <c:v>-9.4785296478341259</c:v>
                </c:pt>
                <c:pt idx="642">
                  <c:v>-9.4785451542395514</c:v>
                </c:pt>
                <c:pt idx="643">
                  <c:v>-9.4785606603845203</c:v>
                </c:pt>
                <c:pt idx="644">
                  <c:v>-9.4785761662690362</c:v>
                </c:pt>
                <c:pt idx="645">
                  <c:v>-9.4785916718930991</c:v>
                </c:pt>
                <c:pt idx="646">
                  <c:v>-9.4786071772567091</c:v>
                </c:pt>
                <c:pt idx="647">
                  <c:v>-9.478622682359882</c:v>
                </c:pt>
                <c:pt idx="648">
                  <c:v>-9.4786381872026109</c:v>
                </c:pt>
                <c:pt idx="649">
                  <c:v>-9.4786536917849062</c:v>
                </c:pt>
                <c:pt idx="650">
                  <c:v>-9.4786691961067682</c:v>
                </c:pt>
                <c:pt idx="651">
                  <c:v>-9.4786847001681966</c:v>
                </c:pt>
                <c:pt idx="652">
                  <c:v>-9.4787002039692023</c:v>
                </c:pt>
                <c:pt idx="653">
                  <c:v>-9.4787157075097852</c:v>
                </c:pt>
                <c:pt idx="654">
                  <c:v>-9.4787312107899524</c:v>
                </c:pt>
                <c:pt idx="655">
                  <c:v>-9.4787467138096968</c:v>
                </c:pt>
                <c:pt idx="656">
                  <c:v>-9.4787622165690344</c:v>
                </c:pt>
                <c:pt idx="657">
                  <c:v>-9.4787777190679599</c:v>
                </c:pt>
                <c:pt idx="658">
                  <c:v>-9.4787932213064838</c:v>
                </c:pt>
                <c:pt idx="659">
                  <c:v>-9.4788087232846099</c:v>
                </c:pt>
                <c:pt idx="660">
                  <c:v>-9.4788242250023327</c:v>
                </c:pt>
                <c:pt idx="661">
                  <c:v>-9.4788397264596682</c:v>
                </c:pt>
                <c:pt idx="662">
                  <c:v>-9.4788552276566076</c:v>
                </c:pt>
                <c:pt idx="663">
                  <c:v>-9.4788707285931615</c:v>
                </c:pt>
                <c:pt idx="664">
                  <c:v>-9.4788862292693299</c:v>
                </c:pt>
                <c:pt idx="665">
                  <c:v>-9.4789017296851217</c:v>
                </c:pt>
                <c:pt idx="666">
                  <c:v>-9.4789172298405386</c:v>
                </c:pt>
                <c:pt idx="667">
                  <c:v>-9.478932729735579</c:v>
                </c:pt>
                <c:pt idx="668">
                  <c:v>-9.4789482293702516</c:v>
                </c:pt>
                <c:pt idx="669">
                  <c:v>-9.4789637287445672</c:v>
                </c:pt>
                <c:pt idx="670">
                  <c:v>-9.4789792278585061</c:v>
                </c:pt>
                <c:pt idx="671">
                  <c:v>-9.4789947267120951</c:v>
                </c:pt>
                <c:pt idx="672">
                  <c:v>-9.4790102253053323</c:v>
                </c:pt>
                <c:pt idx="673">
                  <c:v>-9.4790257236382107</c:v>
                </c:pt>
                <c:pt idx="674">
                  <c:v>-9.4790412217107463</c:v>
                </c:pt>
                <c:pt idx="675">
                  <c:v>-9.4790567195229389</c:v>
                </c:pt>
                <c:pt idx="676">
                  <c:v>-9.4790722170747941</c:v>
                </c:pt>
                <c:pt idx="677">
                  <c:v>-9.4790877143663064</c:v>
                </c:pt>
                <c:pt idx="678">
                  <c:v>-9.47910321139749</c:v>
                </c:pt>
                <c:pt idx="679">
                  <c:v>-9.4791187081683379</c:v>
                </c:pt>
                <c:pt idx="680">
                  <c:v>-9.4791342046788643</c:v>
                </c:pt>
                <c:pt idx="681">
                  <c:v>-9.4791497009290673</c:v>
                </c:pt>
                <c:pt idx="682">
                  <c:v>-9.4791651969189505</c:v>
                </c:pt>
                <c:pt idx="683">
                  <c:v>-9.4791806926485211</c:v>
                </c:pt>
                <c:pt idx="684">
                  <c:v>-9.4791961881177791</c:v>
                </c:pt>
                <c:pt idx="685">
                  <c:v>-9.4792116833267279</c:v>
                </c:pt>
                <c:pt idx="686">
                  <c:v>-9.479227178275373</c:v>
                </c:pt>
                <c:pt idx="687">
                  <c:v>-9.4792426729637178</c:v>
                </c:pt>
                <c:pt idx="688">
                  <c:v>-9.479258167391766</c:v>
                </c:pt>
                <c:pt idx="689">
                  <c:v>-9.4792736615595192</c:v>
                </c:pt>
                <c:pt idx="690">
                  <c:v>-9.4792891554669811</c:v>
                </c:pt>
                <c:pt idx="691">
                  <c:v>-9.479304649114157</c:v>
                </c:pt>
                <c:pt idx="692">
                  <c:v>-9.4793201425010487</c:v>
                </c:pt>
                <c:pt idx="693">
                  <c:v>-9.479335635627665</c:v>
                </c:pt>
                <c:pt idx="694">
                  <c:v>-9.4793511284940006</c:v>
                </c:pt>
                <c:pt idx="695">
                  <c:v>-9.4793666211000698</c:v>
                </c:pt>
                <c:pt idx="696">
                  <c:v>-9.4793821134458671</c:v>
                </c:pt>
                <c:pt idx="697">
                  <c:v>-9.479397605531398</c:v>
                </c:pt>
                <c:pt idx="698">
                  <c:v>-9.4794130973566659</c:v>
                </c:pt>
                <c:pt idx="699">
                  <c:v>-9.4794285889216798</c:v>
                </c:pt>
                <c:pt idx="700">
                  <c:v>-9.4794440802264379</c:v>
                </c:pt>
                <c:pt idx="701">
                  <c:v>-9.4794595712709437</c:v>
                </c:pt>
                <c:pt idx="702">
                  <c:v>-9.4794750620552044</c:v>
                </c:pt>
                <c:pt idx="703">
                  <c:v>-9.4794905525792199</c:v>
                </c:pt>
                <c:pt idx="704">
                  <c:v>-9.479506042842992</c:v>
                </c:pt>
                <c:pt idx="705">
                  <c:v>-9.4795215328465314</c:v>
                </c:pt>
                <c:pt idx="706">
                  <c:v>-9.4795370225898345</c:v>
                </c:pt>
                <c:pt idx="707">
                  <c:v>-9.4795525120729138</c:v>
                </c:pt>
                <c:pt idx="708">
                  <c:v>-9.4795680012957639</c:v>
                </c:pt>
                <c:pt idx="709">
                  <c:v>-9.4795834902583973</c:v>
                </c:pt>
                <c:pt idx="710">
                  <c:v>-9.4795989789608015</c:v>
                </c:pt>
                <c:pt idx="711">
                  <c:v>-9.4796144674029996</c:v>
                </c:pt>
                <c:pt idx="712">
                  <c:v>-9.4796299555849828</c:v>
                </c:pt>
                <c:pt idx="713">
                  <c:v>-9.4796454435067545</c:v>
                </c:pt>
                <c:pt idx="714">
                  <c:v>-9.4796609311683255</c:v>
                </c:pt>
                <c:pt idx="715">
                  <c:v>-9.4796764185696976</c:v>
                </c:pt>
                <c:pt idx="716">
                  <c:v>-9.4796919057108706</c:v>
                </c:pt>
                <c:pt idx="717">
                  <c:v>-9.47970739259185</c:v>
                </c:pt>
                <c:pt idx="718">
                  <c:v>-9.4797228792126376</c:v>
                </c:pt>
                <c:pt idx="719">
                  <c:v>-9.4797383655732421</c:v>
                </c:pt>
                <c:pt idx="720">
                  <c:v>-9.4797538516736584</c:v>
                </c:pt>
                <c:pt idx="721">
                  <c:v>-9.4797693375139023</c:v>
                </c:pt>
                <c:pt idx="722">
                  <c:v>-9.479784823093965</c:v>
                </c:pt>
                <c:pt idx="723">
                  <c:v>-9.4798003084138571</c:v>
                </c:pt>
                <c:pt idx="724">
                  <c:v>-9.4798157934735787</c:v>
                </c:pt>
                <c:pt idx="725">
                  <c:v>-9.4798312782731369</c:v>
                </c:pt>
                <c:pt idx="726">
                  <c:v>-9.4798467628125369</c:v>
                </c:pt>
                <c:pt idx="727">
                  <c:v>-9.4798622470917717</c:v>
                </c:pt>
                <c:pt idx="728">
                  <c:v>-9.4798777311108609</c:v>
                </c:pt>
                <c:pt idx="729">
                  <c:v>-9.4798932148697972</c:v>
                </c:pt>
                <c:pt idx="730">
                  <c:v>-9.4799086983685825</c:v>
                </c:pt>
                <c:pt idx="731">
                  <c:v>-9.4799241816072204</c:v>
                </c:pt>
                <c:pt idx="732">
                  <c:v>-9.4799396645857232</c:v>
                </c:pt>
                <c:pt idx="733">
                  <c:v>-9.4799551473040875</c:v>
                </c:pt>
                <c:pt idx="734">
                  <c:v>-9.4799706297623239</c:v>
                </c:pt>
                <c:pt idx="735">
                  <c:v>-9.4799861119604287</c:v>
                </c:pt>
                <c:pt idx="736">
                  <c:v>-9.4800015938984057</c:v>
                </c:pt>
                <c:pt idx="737">
                  <c:v>-9.4800170755762583</c:v>
                </c:pt>
                <c:pt idx="738">
                  <c:v>-9.4800325569939972</c:v>
                </c:pt>
                <c:pt idx="739">
                  <c:v>-9.4800480381516188</c:v>
                </c:pt>
                <c:pt idx="740">
                  <c:v>-9.4800635190491285</c:v>
                </c:pt>
                <c:pt idx="741">
                  <c:v>-9.4800789996865316</c:v>
                </c:pt>
                <c:pt idx="742">
                  <c:v>-9.4800944800638334</c:v>
                </c:pt>
                <c:pt idx="743">
                  <c:v>-9.4801099601810268</c:v>
                </c:pt>
                <c:pt idx="744">
                  <c:v>-9.4801254400381278</c:v>
                </c:pt>
                <c:pt idx="745">
                  <c:v>-9.4801409196351347</c:v>
                </c:pt>
                <c:pt idx="746">
                  <c:v>-9.4801563989720474</c:v>
                </c:pt>
                <c:pt idx="747">
                  <c:v>-9.4801718780488802</c:v>
                </c:pt>
                <c:pt idx="748">
                  <c:v>-9.4801873568656276</c:v>
                </c:pt>
                <c:pt idx="749">
                  <c:v>-9.4802028354222951</c:v>
                </c:pt>
                <c:pt idx="750">
                  <c:v>-9.4802183137188845</c:v>
                </c:pt>
                <c:pt idx="751">
                  <c:v>-9.4802337917554027</c:v>
                </c:pt>
                <c:pt idx="752">
                  <c:v>-9.4802492695318534</c:v>
                </c:pt>
                <c:pt idx="753">
                  <c:v>-9.4802647470482384</c:v>
                </c:pt>
                <c:pt idx="754">
                  <c:v>-9.4802802243045647</c:v>
                </c:pt>
                <c:pt idx="755">
                  <c:v>-9.4802957013008324</c:v>
                </c:pt>
                <c:pt idx="756">
                  <c:v>-9.480311178037045</c:v>
                </c:pt>
                <c:pt idx="757">
                  <c:v>-9.4803266545132043</c:v>
                </c:pt>
                <c:pt idx="758">
                  <c:v>-9.480342130729321</c:v>
                </c:pt>
                <c:pt idx="759">
                  <c:v>-9.4803576066853967</c:v>
                </c:pt>
                <c:pt idx="760">
                  <c:v>-9.4803730823814245</c:v>
                </c:pt>
                <c:pt idx="761">
                  <c:v>-9.480388557817415</c:v>
                </c:pt>
                <c:pt idx="762">
                  <c:v>-9.480404032993377</c:v>
                </c:pt>
                <c:pt idx="763">
                  <c:v>-9.4804195079093105</c:v>
                </c:pt>
                <c:pt idx="764">
                  <c:v>-9.4804349825652192</c:v>
                </c:pt>
                <c:pt idx="765">
                  <c:v>-9.4804504569611012</c:v>
                </c:pt>
                <c:pt idx="766">
                  <c:v>-9.480465931096969</c:v>
                </c:pt>
                <c:pt idx="767">
                  <c:v>-9.480481404972819</c:v>
                </c:pt>
                <c:pt idx="768">
                  <c:v>-9.4804968785886601</c:v>
                </c:pt>
                <c:pt idx="769">
                  <c:v>-9.4805123519444905</c:v>
                </c:pt>
                <c:pt idx="770">
                  <c:v>-9.4805278250403209</c:v>
                </c:pt>
                <c:pt idx="771">
                  <c:v>-9.4805432978761424</c:v>
                </c:pt>
                <c:pt idx="772">
                  <c:v>-9.4805587704519745</c:v>
                </c:pt>
                <c:pt idx="773">
                  <c:v>-9.4805742427678155</c:v>
                </c:pt>
                <c:pt idx="774">
                  <c:v>-9.4805897148236546</c:v>
                </c:pt>
                <c:pt idx="775">
                  <c:v>-9.4806051866195151</c:v>
                </c:pt>
                <c:pt idx="776">
                  <c:v>-9.4806206581553933</c:v>
                </c:pt>
                <c:pt idx="777">
                  <c:v>-9.4806361294312929</c:v>
                </c:pt>
                <c:pt idx="778">
                  <c:v>-9.4806516004472137</c:v>
                </c:pt>
                <c:pt idx="779">
                  <c:v>-9.4806670712031647</c:v>
                </c:pt>
                <c:pt idx="780">
                  <c:v>-9.4806825416991405</c:v>
                </c:pt>
                <c:pt idx="781">
                  <c:v>-9.4806980119351536</c:v>
                </c:pt>
                <c:pt idx="782">
                  <c:v>-9.4807134819112147</c:v>
                </c:pt>
                <c:pt idx="783">
                  <c:v>-9.4807289516273094</c:v>
                </c:pt>
                <c:pt idx="784">
                  <c:v>-9.4807444210834539</c:v>
                </c:pt>
                <c:pt idx="785">
                  <c:v>-9.4807598902796428</c:v>
                </c:pt>
                <c:pt idx="786">
                  <c:v>-9.4807753592158903</c:v>
                </c:pt>
                <c:pt idx="787">
                  <c:v>-9.4807908278921929</c:v>
                </c:pt>
                <c:pt idx="788">
                  <c:v>-9.480806296308554</c:v>
                </c:pt>
                <c:pt idx="789">
                  <c:v>-9.480821764464979</c:v>
                </c:pt>
                <c:pt idx="790">
                  <c:v>-9.480837232361468</c:v>
                </c:pt>
                <c:pt idx="791">
                  <c:v>-9.4808526999980316</c:v>
                </c:pt>
                <c:pt idx="792">
                  <c:v>-9.480868167374668</c:v>
                </c:pt>
                <c:pt idx="793">
                  <c:v>-9.4808836344913843</c:v>
                </c:pt>
                <c:pt idx="794">
                  <c:v>-9.4808991013481823</c:v>
                </c:pt>
                <c:pt idx="795">
                  <c:v>-9.4809145679450655</c:v>
                </c:pt>
                <c:pt idx="796">
                  <c:v>-9.4809300342820304</c:v>
                </c:pt>
                <c:pt idx="797">
                  <c:v>-9.4809455003590912</c:v>
                </c:pt>
                <c:pt idx="798">
                  <c:v>-9.4809609661762497</c:v>
                </c:pt>
                <c:pt idx="799">
                  <c:v>-9.4809764317335077</c:v>
                </c:pt>
                <c:pt idx="800">
                  <c:v>-9.4809918970308686</c:v>
                </c:pt>
                <c:pt idx="801">
                  <c:v>-9.4810073620683326</c:v>
                </c:pt>
                <c:pt idx="802">
                  <c:v>-9.4810228268459102</c:v>
                </c:pt>
                <c:pt idx="803">
                  <c:v>-9.4810382913636033</c:v>
                </c:pt>
                <c:pt idx="804">
                  <c:v>-9.4810537556214136</c:v>
                </c:pt>
                <c:pt idx="805">
                  <c:v>-9.4810692196193376</c:v>
                </c:pt>
                <c:pt idx="806">
                  <c:v>-9.4810846833573912</c:v>
                </c:pt>
                <c:pt idx="807">
                  <c:v>-9.4811001468355691</c:v>
                </c:pt>
                <c:pt idx="808">
                  <c:v>-9.4811156100538838</c:v>
                </c:pt>
                <c:pt idx="809">
                  <c:v>-9.4811310730123282</c:v>
                </c:pt>
                <c:pt idx="810">
                  <c:v>-9.4811465357109146</c:v>
                </c:pt>
                <c:pt idx="811">
                  <c:v>-9.4811619981496449</c:v>
                </c:pt>
                <c:pt idx="812">
                  <c:v>-9.481177460328519</c:v>
                </c:pt>
                <c:pt idx="813">
                  <c:v>-9.4811929222475371</c:v>
                </c:pt>
                <c:pt idx="814">
                  <c:v>-9.4812083839067132</c:v>
                </c:pt>
                <c:pt idx="815">
                  <c:v>-9.4812238453060456</c:v>
                </c:pt>
                <c:pt idx="816">
                  <c:v>-9.4812393064455378</c:v>
                </c:pt>
                <c:pt idx="817">
                  <c:v>-9.4812547673251899</c:v>
                </c:pt>
                <c:pt idx="818">
                  <c:v>-9.4812702279450125</c:v>
                </c:pt>
                <c:pt idx="819">
                  <c:v>-9.4812856883050092</c:v>
                </c:pt>
                <c:pt idx="820">
                  <c:v>-9.4813011484051763</c:v>
                </c:pt>
                <c:pt idx="821">
                  <c:v>-9.4813166082455211</c:v>
                </c:pt>
                <c:pt idx="822">
                  <c:v>-9.4813320678260418</c:v>
                </c:pt>
                <c:pt idx="823">
                  <c:v>-9.4813475271467578</c:v>
                </c:pt>
                <c:pt idx="824">
                  <c:v>-9.4813629862076585</c:v>
                </c:pt>
                <c:pt idx="825">
                  <c:v>-9.4813784450087546</c:v>
                </c:pt>
                <c:pt idx="826">
                  <c:v>-9.4813939035500425</c:v>
                </c:pt>
                <c:pt idx="827">
                  <c:v>-9.4814093618315294</c:v>
                </c:pt>
                <c:pt idx="828">
                  <c:v>-9.4814248198532205</c:v>
                </c:pt>
                <c:pt idx="829">
                  <c:v>-9.4814402776151212</c:v>
                </c:pt>
                <c:pt idx="830">
                  <c:v>-9.4814557351172244</c:v>
                </c:pt>
                <c:pt idx="831">
                  <c:v>-9.4814711923595443</c:v>
                </c:pt>
                <c:pt idx="832">
                  <c:v>-9.4814866493420844</c:v>
                </c:pt>
                <c:pt idx="833">
                  <c:v>-9.4815021060648448</c:v>
                </c:pt>
                <c:pt idx="834">
                  <c:v>-9.4815175625278272</c:v>
                </c:pt>
                <c:pt idx="835">
                  <c:v>-9.4815330187310405</c:v>
                </c:pt>
                <c:pt idx="836">
                  <c:v>-9.4815484746744776</c:v>
                </c:pt>
                <c:pt idx="837">
                  <c:v>-9.481563930358158</c:v>
                </c:pt>
                <c:pt idx="838">
                  <c:v>-9.4815793857820729</c:v>
                </c:pt>
                <c:pt idx="839">
                  <c:v>-9.4815948409462329</c:v>
                </c:pt>
                <c:pt idx="840">
                  <c:v>-9.4816102958506345</c:v>
                </c:pt>
                <c:pt idx="841">
                  <c:v>-9.4816257504952848</c:v>
                </c:pt>
                <c:pt idx="842">
                  <c:v>-9.4816412048801926</c:v>
                </c:pt>
                <c:pt idx="843">
                  <c:v>-9.4816566590053597</c:v>
                </c:pt>
                <c:pt idx="844">
                  <c:v>-9.4816721128707808</c:v>
                </c:pt>
                <c:pt idx="845">
                  <c:v>-9.4816875664764666</c:v>
                </c:pt>
                <c:pt idx="846">
                  <c:v>-9.4817030198224206</c:v>
                </c:pt>
                <c:pt idx="847">
                  <c:v>-9.4817184729086499</c:v>
                </c:pt>
                <c:pt idx="848">
                  <c:v>-9.4817339257351421</c:v>
                </c:pt>
                <c:pt idx="849">
                  <c:v>-9.481749378301922</c:v>
                </c:pt>
                <c:pt idx="850">
                  <c:v>-9.4817648306089808</c:v>
                </c:pt>
                <c:pt idx="851">
                  <c:v>-9.481780282656322</c:v>
                </c:pt>
                <c:pt idx="852">
                  <c:v>-9.4817957344439598</c:v>
                </c:pt>
                <c:pt idx="853">
                  <c:v>-9.4818111859718801</c:v>
                </c:pt>
                <c:pt idx="854">
                  <c:v>-9.4818266372400988</c:v>
                </c:pt>
                <c:pt idx="855">
                  <c:v>-9.4818420882486194</c:v>
                </c:pt>
                <c:pt idx="856">
                  <c:v>-9.4818575389974402</c:v>
                </c:pt>
                <c:pt idx="857">
                  <c:v>-9.4818729894865736</c:v>
                </c:pt>
                <c:pt idx="858">
                  <c:v>-9.4818884397160073</c:v>
                </c:pt>
                <c:pt idx="859">
                  <c:v>-9.4819038896857606</c:v>
                </c:pt>
                <c:pt idx="860">
                  <c:v>-9.4819193393958319</c:v>
                </c:pt>
                <c:pt idx="861">
                  <c:v>-9.4819347888462211</c:v>
                </c:pt>
                <c:pt idx="862">
                  <c:v>-9.4819502380369336</c:v>
                </c:pt>
                <c:pt idx="863">
                  <c:v>-9.4819656869679765</c:v>
                </c:pt>
                <c:pt idx="864">
                  <c:v>-9.4819811356393497</c:v>
                </c:pt>
                <c:pt idx="865">
                  <c:v>-9.4819965840510552</c:v>
                </c:pt>
                <c:pt idx="866">
                  <c:v>-9.482012032203107</c:v>
                </c:pt>
                <c:pt idx="867">
                  <c:v>-9.482027480095498</c:v>
                </c:pt>
                <c:pt idx="868">
                  <c:v>-9.4820429277282283</c:v>
                </c:pt>
                <c:pt idx="869">
                  <c:v>-9.4820583751013157</c:v>
                </c:pt>
                <c:pt idx="870">
                  <c:v>-9.4820738222147529</c:v>
                </c:pt>
                <c:pt idx="871">
                  <c:v>-9.4820892690685472</c:v>
                </c:pt>
                <c:pt idx="872">
                  <c:v>-9.4821047156627021</c:v>
                </c:pt>
                <c:pt idx="873">
                  <c:v>-9.4821201619972193</c:v>
                </c:pt>
                <c:pt idx="874">
                  <c:v>-9.4821356080721007</c:v>
                </c:pt>
                <c:pt idx="875">
                  <c:v>-9.4821510538873532</c:v>
                </c:pt>
                <c:pt idx="876">
                  <c:v>-9.482166499442986</c:v>
                </c:pt>
                <c:pt idx="877">
                  <c:v>-9.4821819447389935</c:v>
                </c:pt>
                <c:pt idx="878">
                  <c:v>-9.4821973897753811</c:v>
                </c:pt>
                <c:pt idx="879">
                  <c:v>-9.4822128345521541</c:v>
                </c:pt>
                <c:pt idx="880">
                  <c:v>-9.4822282790693162</c:v>
                </c:pt>
                <c:pt idx="881">
                  <c:v>-9.4822437233268708</c:v>
                </c:pt>
                <c:pt idx="882">
                  <c:v>-9.4822591673248215</c:v>
                </c:pt>
                <c:pt idx="883">
                  <c:v>-9.4822746110631684</c:v>
                </c:pt>
                <c:pt idx="884">
                  <c:v>-9.482290054541922</c:v>
                </c:pt>
                <c:pt idx="885">
                  <c:v>-9.4823054977610806</c:v>
                </c:pt>
                <c:pt idx="886">
                  <c:v>-9.4823209407206512</c:v>
                </c:pt>
                <c:pt idx="887">
                  <c:v>-9.4823363834206322</c:v>
                </c:pt>
                <c:pt idx="888">
                  <c:v>-9.4823518258610306</c:v>
                </c:pt>
                <c:pt idx="889">
                  <c:v>-9.4823672680418536</c:v>
                </c:pt>
                <c:pt idx="890">
                  <c:v>-9.482382709963094</c:v>
                </c:pt>
                <c:pt idx="891">
                  <c:v>-9.4823981516247713</c:v>
                </c:pt>
                <c:pt idx="892">
                  <c:v>-9.4824135930268749</c:v>
                </c:pt>
                <c:pt idx="893">
                  <c:v>-9.4824290341694102</c:v>
                </c:pt>
                <c:pt idx="894">
                  <c:v>-9.4824444750523913</c:v>
                </c:pt>
                <c:pt idx="895">
                  <c:v>-9.4824599156758058</c:v>
                </c:pt>
                <c:pt idx="896">
                  <c:v>-9.4824753560396733</c:v>
                </c:pt>
                <c:pt idx="897">
                  <c:v>-9.4824907961439884</c:v>
                </c:pt>
                <c:pt idx="898">
                  <c:v>-9.4825062359887582</c:v>
                </c:pt>
                <c:pt idx="899">
                  <c:v>-9.4825216755739792</c:v>
                </c:pt>
                <c:pt idx="900">
                  <c:v>-9.4825371148996656</c:v>
                </c:pt>
                <c:pt idx="901">
                  <c:v>-9.4825525539658102</c:v>
                </c:pt>
                <c:pt idx="902">
                  <c:v>-9.482567992772422</c:v>
                </c:pt>
                <c:pt idx="903">
                  <c:v>-9.4825834313195045</c:v>
                </c:pt>
                <c:pt idx="904">
                  <c:v>-9.4825988696070631</c:v>
                </c:pt>
                <c:pt idx="905">
                  <c:v>-9.4826143076351048</c:v>
                </c:pt>
                <c:pt idx="906">
                  <c:v>-9.4826297454036208</c:v>
                </c:pt>
                <c:pt idx="907">
                  <c:v>-9.4826451829126199</c:v>
                </c:pt>
                <c:pt idx="908">
                  <c:v>-9.4826606201621146</c:v>
                </c:pt>
                <c:pt idx="909">
                  <c:v>-9.4826760571520978</c:v>
                </c:pt>
                <c:pt idx="910">
                  <c:v>-9.4826914938825766</c:v>
                </c:pt>
                <c:pt idx="911">
                  <c:v>-9.4827069303535563</c:v>
                </c:pt>
                <c:pt idx="912">
                  <c:v>-9.4827223665650351</c:v>
                </c:pt>
                <c:pt idx="913">
                  <c:v>-9.4827378025170237</c:v>
                </c:pt>
                <c:pt idx="914">
                  <c:v>-9.4827532382095203</c:v>
                </c:pt>
                <c:pt idx="915">
                  <c:v>-9.4827686736425303</c:v>
                </c:pt>
                <c:pt idx="916">
                  <c:v>-9.4827841088160607</c:v>
                </c:pt>
                <c:pt idx="917">
                  <c:v>-9.4827995437301045</c:v>
                </c:pt>
                <c:pt idx="918">
                  <c:v>-9.4828149783846793</c:v>
                </c:pt>
                <c:pt idx="919">
                  <c:v>-9.4828304127797836</c:v>
                </c:pt>
                <c:pt idx="920">
                  <c:v>-9.4828458469154082</c:v>
                </c:pt>
                <c:pt idx="921">
                  <c:v>-9.4828612807915782</c:v>
                </c:pt>
                <c:pt idx="922">
                  <c:v>-9.4828767144082882</c:v>
                </c:pt>
                <c:pt idx="923">
                  <c:v>-9.482892147765531</c:v>
                </c:pt>
                <c:pt idx="924">
                  <c:v>-9.4829075808633245</c:v>
                </c:pt>
                <c:pt idx="925">
                  <c:v>-9.4829230137016705</c:v>
                </c:pt>
                <c:pt idx="926">
                  <c:v>-9.4829384462805635</c:v>
                </c:pt>
                <c:pt idx="927">
                  <c:v>-9.4829538786000125</c:v>
                </c:pt>
                <c:pt idx="928">
                  <c:v>-9.4829693106600246</c:v>
                </c:pt>
                <c:pt idx="929">
                  <c:v>-9.4829847424605962</c:v>
                </c:pt>
                <c:pt idx="930">
                  <c:v>-9.4830001740017416</c:v>
                </c:pt>
                <c:pt idx="931">
                  <c:v>-9.4830156052834464</c:v>
                </c:pt>
                <c:pt idx="932">
                  <c:v>-9.4830310363057375</c:v>
                </c:pt>
                <c:pt idx="933">
                  <c:v>-9.483046467068597</c:v>
                </c:pt>
                <c:pt idx="934">
                  <c:v>-9.4830618975720409</c:v>
                </c:pt>
                <c:pt idx="935">
                  <c:v>-9.4830773278160745</c:v>
                </c:pt>
                <c:pt idx="936">
                  <c:v>-9.4830927578006943</c:v>
                </c:pt>
                <c:pt idx="937">
                  <c:v>-9.483108187525902</c:v>
                </c:pt>
                <c:pt idx="938">
                  <c:v>-9.4831236169917048</c:v>
                </c:pt>
                <c:pt idx="939">
                  <c:v>-9.483139046198108</c:v>
                </c:pt>
                <c:pt idx="940">
                  <c:v>-9.4831544751451151</c:v>
                </c:pt>
                <c:pt idx="941">
                  <c:v>-9.483169903832728</c:v>
                </c:pt>
                <c:pt idx="942">
                  <c:v>-9.4831853322609536</c:v>
                </c:pt>
                <c:pt idx="943">
                  <c:v>-9.4832007604297903</c:v>
                </c:pt>
                <c:pt idx="944">
                  <c:v>-9.483216188339247</c:v>
                </c:pt>
                <c:pt idx="945">
                  <c:v>-9.4832316159893235</c:v>
                </c:pt>
                <c:pt idx="946">
                  <c:v>-9.4832470433800218</c:v>
                </c:pt>
                <c:pt idx="947">
                  <c:v>-9.4832624705113489</c:v>
                </c:pt>
                <c:pt idx="948">
                  <c:v>-9.4832778973833065</c:v>
                </c:pt>
                <c:pt idx="949">
                  <c:v>-9.4832933239959001</c:v>
                </c:pt>
                <c:pt idx="950">
                  <c:v>-9.4833087503491278</c:v>
                </c:pt>
                <c:pt idx="951">
                  <c:v>-9.4833241764430021</c:v>
                </c:pt>
                <c:pt idx="952">
                  <c:v>-9.4833396022775212</c:v>
                </c:pt>
                <c:pt idx="953">
                  <c:v>-9.4833550278526921</c:v>
                </c:pt>
                <c:pt idx="954">
                  <c:v>-9.4833704531685132</c:v>
                </c:pt>
                <c:pt idx="955">
                  <c:v>-9.4833858782249898</c:v>
                </c:pt>
                <c:pt idx="956">
                  <c:v>-9.4834013030221183</c:v>
                </c:pt>
                <c:pt idx="957">
                  <c:v>-9.4834167275599199</c:v>
                </c:pt>
                <c:pt idx="958">
                  <c:v>-9.4834321518383895</c:v>
                </c:pt>
                <c:pt idx="959">
                  <c:v>-9.4834475758575234</c:v>
                </c:pt>
                <c:pt idx="960">
                  <c:v>-9.4834629996173323</c:v>
                </c:pt>
                <c:pt idx="961">
                  <c:v>-9.4834784231178251</c:v>
                </c:pt>
                <c:pt idx="962">
                  <c:v>-9.4834938463589911</c:v>
                </c:pt>
                <c:pt idx="963">
                  <c:v>-9.4835092693408463</c:v>
                </c:pt>
                <c:pt idx="964">
                  <c:v>-9.4835246920633889</c:v>
                </c:pt>
                <c:pt idx="965">
                  <c:v>-9.4835401145266225</c:v>
                </c:pt>
                <c:pt idx="966">
                  <c:v>-9.4835555367305577</c:v>
                </c:pt>
                <c:pt idx="967">
                  <c:v>-9.483570958675184</c:v>
                </c:pt>
                <c:pt idx="968">
                  <c:v>-9.4835863803605154</c:v>
                </c:pt>
                <c:pt idx="969">
                  <c:v>-9.4836018017865538</c:v>
                </c:pt>
                <c:pt idx="970">
                  <c:v>-9.4836172229533027</c:v>
                </c:pt>
                <c:pt idx="971">
                  <c:v>-9.4836326438607603</c:v>
                </c:pt>
                <c:pt idx="972">
                  <c:v>-9.4836480645089392</c:v>
                </c:pt>
                <c:pt idx="973">
                  <c:v>-9.4836634848978374</c:v>
                </c:pt>
                <c:pt idx="974">
                  <c:v>-9.483678905027455</c:v>
                </c:pt>
                <c:pt idx="975">
                  <c:v>-9.4836943248978081</c:v>
                </c:pt>
                <c:pt idx="976">
                  <c:v>-9.4837097445088947</c:v>
                </c:pt>
                <c:pt idx="977">
                  <c:v>-9.4837251638607079</c:v>
                </c:pt>
                <c:pt idx="978">
                  <c:v>-9.4837405829532599</c:v>
                </c:pt>
                <c:pt idx="979">
                  <c:v>-9.4837560017865545</c:v>
                </c:pt>
                <c:pt idx="980">
                  <c:v>-9.4837714203605952</c:v>
                </c:pt>
                <c:pt idx="981">
                  <c:v>-9.4837868386753907</c:v>
                </c:pt>
                <c:pt idx="982">
                  <c:v>-9.483802256730927</c:v>
                </c:pt>
                <c:pt idx="983">
                  <c:v>-9.4838176745272307</c:v>
                </c:pt>
                <c:pt idx="984">
                  <c:v>-9.4838330920642875</c:v>
                </c:pt>
                <c:pt idx="985">
                  <c:v>-9.4838485093421063</c:v>
                </c:pt>
                <c:pt idx="986">
                  <c:v>-9.4838639263606961</c:v>
                </c:pt>
                <c:pt idx="987">
                  <c:v>-9.4838793431200514</c:v>
                </c:pt>
                <c:pt idx="988">
                  <c:v>-9.4838947596201884</c:v>
                </c:pt>
                <c:pt idx="989">
                  <c:v>-9.4839101758610997</c:v>
                </c:pt>
                <c:pt idx="990">
                  <c:v>-9.4839255918427892</c:v>
                </c:pt>
                <c:pt idx="991">
                  <c:v>-9.4839410075652619</c:v>
                </c:pt>
                <c:pt idx="992">
                  <c:v>-9.4839564230285305</c:v>
                </c:pt>
                <c:pt idx="993">
                  <c:v>-9.4839718382325806</c:v>
                </c:pt>
                <c:pt idx="994">
                  <c:v>-9.4839872531774319</c:v>
                </c:pt>
                <c:pt idx="995">
                  <c:v>-9.4840026678630807</c:v>
                </c:pt>
                <c:pt idx="996">
                  <c:v>-9.4840180822895324</c:v>
                </c:pt>
                <c:pt idx="997">
                  <c:v>-9.4840334964567905</c:v>
                </c:pt>
                <c:pt idx="998">
                  <c:v>-9.4840489103648586</c:v>
                </c:pt>
                <c:pt idx="999">
                  <c:v>-9.4840643240137386</c:v>
                </c:pt>
                <c:pt idx="1000">
                  <c:v>-9.4840797374034391</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35.100000000000186</c:v>
                </c:pt>
                <c:pt idx="500">
                  <c:v>35.200000000000188</c:v>
                </c:pt>
                <c:pt idx="501">
                  <c:v>35.300000000000189</c:v>
                </c:pt>
                <c:pt idx="502">
                  <c:v>35.40000000000019</c:v>
                </c:pt>
                <c:pt idx="503">
                  <c:v>35.500000000000192</c:v>
                </c:pt>
                <c:pt idx="504">
                  <c:v>35.600000000000193</c:v>
                </c:pt>
                <c:pt idx="505">
                  <c:v>35.700000000000195</c:v>
                </c:pt>
                <c:pt idx="506">
                  <c:v>35.800000000000196</c:v>
                </c:pt>
                <c:pt idx="507">
                  <c:v>35.900000000000198</c:v>
                </c:pt>
                <c:pt idx="508">
                  <c:v>36.000000000000199</c:v>
                </c:pt>
                <c:pt idx="509">
                  <c:v>36.1000000000002</c:v>
                </c:pt>
                <c:pt idx="510">
                  <c:v>36.200000000000202</c:v>
                </c:pt>
                <c:pt idx="511">
                  <c:v>36.300000000000203</c:v>
                </c:pt>
                <c:pt idx="512">
                  <c:v>36.400000000000205</c:v>
                </c:pt>
                <c:pt idx="513">
                  <c:v>36.500000000000206</c:v>
                </c:pt>
                <c:pt idx="514">
                  <c:v>36.600000000000207</c:v>
                </c:pt>
                <c:pt idx="515">
                  <c:v>36.600100000000211</c:v>
                </c:pt>
                <c:pt idx="516">
                  <c:v>36.600200000000214</c:v>
                </c:pt>
                <c:pt idx="517">
                  <c:v>36.600300000000217</c:v>
                </c:pt>
                <c:pt idx="518">
                  <c:v>36.600400000000221</c:v>
                </c:pt>
                <c:pt idx="519">
                  <c:v>36.600500000000224</c:v>
                </c:pt>
                <c:pt idx="520">
                  <c:v>36.600600000000227</c:v>
                </c:pt>
                <c:pt idx="521">
                  <c:v>36.600700000000231</c:v>
                </c:pt>
                <c:pt idx="522">
                  <c:v>36.600800000000234</c:v>
                </c:pt>
                <c:pt idx="523">
                  <c:v>36.600900000000237</c:v>
                </c:pt>
                <c:pt idx="524">
                  <c:v>36.601000000000241</c:v>
                </c:pt>
                <c:pt idx="525">
                  <c:v>36.601100000000244</c:v>
                </c:pt>
                <c:pt idx="526">
                  <c:v>36.601200000000247</c:v>
                </c:pt>
                <c:pt idx="527">
                  <c:v>36.601300000000251</c:v>
                </c:pt>
                <c:pt idx="528">
                  <c:v>36.601400000000254</c:v>
                </c:pt>
                <c:pt idx="529">
                  <c:v>36.601500000000257</c:v>
                </c:pt>
                <c:pt idx="530">
                  <c:v>36.601600000000261</c:v>
                </c:pt>
                <c:pt idx="531">
                  <c:v>36.601700000000264</c:v>
                </c:pt>
                <c:pt idx="532">
                  <c:v>36.601800000000267</c:v>
                </c:pt>
                <c:pt idx="533">
                  <c:v>36.601900000000271</c:v>
                </c:pt>
                <c:pt idx="534">
                  <c:v>36.602000000000274</c:v>
                </c:pt>
                <c:pt idx="535">
                  <c:v>36.602100000000277</c:v>
                </c:pt>
                <c:pt idx="536">
                  <c:v>36.602200000000281</c:v>
                </c:pt>
                <c:pt idx="537">
                  <c:v>36.602300000000284</c:v>
                </c:pt>
                <c:pt idx="538">
                  <c:v>36.602400000000287</c:v>
                </c:pt>
                <c:pt idx="539">
                  <c:v>36.60250000000029</c:v>
                </c:pt>
                <c:pt idx="540">
                  <c:v>36.602600000000294</c:v>
                </c:pt>
                <c:pt idx="541">
                  <c:v>36.602700000000297</c:v>
                </c:pt>
                <c:pt idx="542">
                  <c:v>36.6028000000003</c:v>
                </c:pt>
                <c:pt idx="543">
                  <c:v>36.602900000000304</c:v>
                </c:pt>
                <c:pt idx="544">
                  <c:v>36.603000000000307</c:v>
                </c:pt>
                <c:pt idx="545">
                  <c:v>36.60310000000031</c:v>
                </c:pt>
                <c:pt idx="546">
                  <c:v>36.603200000000314</c:v>
                </c:pt>
                <c:pt idx="547">
                  <c:v>36.603300000000317</c:v>
                </c:pt>
                <c:pt idx="548">
                  <c:v>36.60340000000032</c:v>
                </c:pt>
                <c:pt idx="549">
                  <c:v>36.603500000000324</c:v>
                </c:pt>
                <c:pt idx="550">
                  <c:v>36.603600000000327</c:v>
                </c:pt>
                <c:pt idx="551">
                  <c:v>36.60370000000033</c:v>
                </c:pt>
                <c:pt idx="552">
                  <c:v>36.603800000000334</c:v>
                </c:pt>
                <c:pt idx="553">
                  <c:v>36.603900000000337</c:v>
                </c:pt>
                <c:pt idx="554">
                  <c:v>36.60400000000034</c:v>
                </c:pt>
                <c:pt idx="555">
                  <c:v>36.604100000000344</c:v>
                </c:pt>
                <c:pt idx="556">
                  <c:v>36.604200000000347</c:v>
                </c:pt>
                <c:pt idx="557">
                  <c:v>36.60430000000035</c:v>
                </c:pt>
                <c:pt idx="558">
                  <c:v>36.604400000000354</c:v>
                </c:pt>
                <c:pt idx="559">
                  <c:v>36.604500000000357</c:v>
                </c:pt>
                <c:pt idx="560">
                  <c:v>36.60460000000036</c:v>
                </c:pt>
                <c:pt idx="561">
                  <c:v>36.604700000000364</c:v>
                </c:pt>
                <c:pt idx="562">
                  <c:v>36.604800000000367</c:v>
                </c:pt>
                <c:pt idx="563">
                  <c:v>36.60490000000037</c:v>
                </c:pt>
                <c:pt idx="564">
                  <c:v>36.605000000000373</c:v>
                </c:pt>
                <c:pt idx="565">
                  <c:v>36.605100000000377</c:v>
                </c:pt>
                <c:pt idx="566">
                  <c:v>36.60520000000038</c:v>
                </c:pt>
                <c:pt idx="567">
                  <c:v>36.605300000000383</c:v>
                </c:pt>
                <c:pt idx="568">
                  <c:v>36.605400000000387</c:v>
                </c:pt>
                <c:pt idx="569">
                  <c:v>36.60550000000039</c:v>
                </c:pt>
                <c:pt idx="570">
                  <c:v>36.605600000000393</c:v>
                </c:pt>
                <c:pt idx="571">
                  <c:v>36.605700000000397</c:v>
                </c:pt>
                <c:pt idx="572">
                  <c:v>36.6058000000004</c:v>
                </c:pt>
                <c:pt idx="573">
                  <c:v>36.605900000000403</c:v>
                </c:pt>
                <c:pt idx="574">
                  <c:v>36.606000000000407</c:v>
                </c:pt>
                <c:pt idx="575">
                  <c:v>36.60610000000041</c:v>
                </c:pt>
                <c:pt idx="576">
                  <c:v>36.606200000000413</c:v>
                </c:pt>
                <c:pt idx="577">
                  <c:v>36.606300000000417</c:v>
                </c:pt>
                <c:pt idx="578">
                  <c:v>36.60640000000042</c:v>
                </c:pt>
                <c:pt idx="579">
                  <c:v>36.606500000000423</c:v>
                </c:pt>
                <c:pt idx="580">
                  <c:v>36.606600000000427</c:v>
                </c:pt>
                <c:pt idx="581">
                  <c:v>36.60670000000043</c:v>
                </c:pt>
                <c:pt idx="582">
                  <c:v>36.606800000000433</c:v>
                </c:pt>
                <c:pt idx="583">
                  <c:v>36.606900000000437</c:v>
                </c:pt>
                <c:pt idx="584">
                  <c:v>36.60700000000044</c:v>
                </c:pt>
                <c:pt idx="585">
                  <c:v>36.607100000000443</c:v>
                </c:pt>
                <c:pt idx="586">
                  <c:v>36.607200000000446</c:v>
                </c:pt>
                <c:pt idx="587">
                  <c:v>36.60730000000045</c:v>
                </c:pt>
                <c:pt idx="588">
                  <c:v>36.607400000000453</c:v>
                </c:pt>
                <c:pt idx="589">
                  <c:v>36.607500000000456</c:v>
                </c:pt>
                <c:pt idx="590">
                  <c:v>36.60760000000046</c:v>
                </c:pt>
                <c:pt idx="591">
                  <c:v>36.607700000000463</c:v>
                </c:pt>
                <c:pt idx="592">
                  <c:v>36.607800000000466</c:v>
                </c:pt>
                <c:pt idx="593">
                  <c:v>36.60790000000047</c:v>
                </c:pt>
                <c:pt idx="594">
                  <c:v>36.608000000000473</c:v>
                </c:pt>
                <c:pt idx="595">
                  <c:v>36.608100000000476</c:v>
                </c:pt>
                <c:pt idx="596">
                  <c:v>36.60820000000048</c:v>
                </c:pt>
                <c:pt idx="597">
                  <c:v>36.608300000000483</c:v>
                </c:pt>
                <c:pt idx="598">
                  <c:v>36.608400000000486</c:v>
                </c:pt>
                <c:pt idx="599">
                  <c:v>36.60850000000049</c:v>
                </c:pt>
                <c:pt idx="600">
                  <c:v>36.608600000000493</c:v>
                </c:pt>
                <c:pt idx="601">
                  <c:v>36.608700000000496</c:v>
                </c:pt>
                <c:pt idx="602">
                  <c:v>36.6088000000005</c:v>
                </c:pt>
                <c:pt idx="603">
                  <c:v>36.608900000000503</c:v>
                </c:pt>
                <c:pt idx="604">
                  <c:v>36.609000000000506</c:v>
                </c:pt>
                <c:pt idx="605">
                  <c:v>36.60910000000051</c:v>
                </c:pt>
                <c:pt idx="606">
                  <c:v>36.609200000000513</c:v>
                </c:pt>
                <c:pt idx="607">
                  <c:v>36.609300000000516</c:v>
                </c:pt>
                <c:pt idx="608">
                  <c:v>36.60940000000052</c:v>
                </c:pt>
                <c:pt idx="609">
                  <c:v>36.609500000000523</c:v>
                </c:pt>
                <c:pt idx="610">
                  <c:v>36.609600000000526</c:v>
                </c:pt>
                <c:pt idx="611">
                  <c:v>36.609700000000529</c:v>
                </c:pt>
                <c:pt idx="612">
                  <c:v>36.609800000000533</c:v>
                </c:pt>
                <c:pt idx="613">
                  <c:v>36.609900000000536</c:v>
                </c:pt>
                <c:pt idx="614">
                  <c:v>36.610000000000539</c:v>
                </c:pt>
                <c:pt idx="615">
                  <c:v>36.610100000000543</c:v>
                </c:pt>
                <c:pt idx="616">
                  <c:v>36.610200000000546</c:v>
                </c:pt>
                <c:pt idx="617">
                  <c:v>36.610300000000549</c:v>
                </c:pt>
                <c:pt idx="618">
                  <c:v>36.610400000000553</c:v>
                </c:pt>
                <c:pt idx="619">
                  <c:v>36.610500000000556</c:v>
                </c:pt>
                <c:pt idx="620">
                  <c:v>36.610600000000559</c:v>
                </c:pt>
                <c:pt idx="621">
                  <c:v>36.610700000000563</c:v>
                </c:pt>
                <c:pt idx="622">
                  <c:v>36.610800000000566</c:v>
                </c:pt>
                <c:pt idx="623">
                  <c:v>36.610900000000569</c:v>
                </c:pt>
                <c:pt idx="624">
                  <c:v>36.611000000000573</c:v>
                </c:pt>
                <c:pt idx="625">
                  <c:v>36.611100000000576</c:v>
                </c:pt>
                <c:pt idx="626">
                  <c:v>36.611200000000579</c:v>
                </c:pt>
                <c:pt idx="627">
                  <c:v>36.611300000000583</c:v>
                </c:pt>
                <c:pt idx="628">
                  <c:v>36.611400000000586</c:v>
                </c:pt>
                <c:pt idx="629">
                  <c:v>36.611500000000589</c:v>
                </c:pt>
                <c:pt idx="630">
                  <c:v>36.611600000000593</c:v>
                </c:pt>
                <c:pt idx="631">
                  <c:v>36.611700000000596</c:v>
                </c:pt>
                <c:pt idx="632">
                  <c:v>36.611800000000599</c:v>
                </c:pt>
                <c:pt idx="633">
                  <c:v>36.611900000000603</c:v>
                </c:pt>
                <c:pt idx="634">
                  <c:v>36.612000000000606</c:v>
                </c:pt>
                <c:pt idx="635">
                  <c:v>36.612100000000609</c:v>
                </c:pt>
                <c:pt idx="636">
                  <c:v>36.612200000000612</c:v>
                </c:pt>
                <c:pt idx="637">
                  <c:v>36.612300000000616</c:v>
                </c:pt>
                <c:pt idx="638">
                  <c:v>36.612400000000619</c:v>
                </c:pt>
                <c:pt idx="639">
                  <c:v>36.612500000000622</c:v>
                </c:pt>
                <c:pt idx="640">
                  <c:v>36.612600000000626</c:v>
                </c:pt>
                <c:pt idx="641">
                  <c:v>36.612700000000629</c:v>
                </c:pt>
                <c:pt idx="642">
                  <c:v>36.612800000000632</c:v>
                </c:pt>
                <c:pt idx="643">
                  <c:v>36.612900000000636</c:v>
                </c:pt>
                <c:pt idx="644">
                  <c:v>36.613000000000639</c:v>
                </c:pt>
                <c:pt idx="645">
                  <c:v>36.613100000000642</c:v>
                </c:pt>
                <c:pt idx="646">
                  <c:v>36.613200000000646</c:v>
                </c:pt>
                <c:pt idx="647">
                  <c:v>36.613300000000649</c:v>
                </c:pt>
                <c:pt idx="648">
                  <c:v>36.613400000000652</c:v>
                </c:pt>
                <c:pt idx="649">
                  <c:v>36.613500000000656</c:v>
                </c:pt>
                <c:pt idx="650">
                  <c:v>36.613600000000659</c:v>
                </c:pt>
                <c:pt idx="651">
                  <c:v>36.613700000000662</c:v>
                </c:pt>
                <c:pt idx="652">
                  <c:v>36.613800000000666</c:v>
                </c:pt>
                <c:pt idx="653">
                  <c:v>36.613900000000669</c:v>
                </c:pt>
                <c:pt idx="654">
                  <c:v>36.614000000000672</c:v>
                </c:pt>
                <c:pt idx="655">
                  <c:v>36.614100000000676</c:v>
                </c:pt>
                <c:pt idx="656">
                  <c:v>36.614200000000679</c:v>
                </c:pt>
                <c:pt idx="657">
                  <c:v>36.614300000000682</c:v>
                </c:pt>
                <c:pt idx="658">
                  <c:v>36.614400000000686</c:v>
                </c:pt>
                <c:pt idx="659">
                  <c:v>36.614500000000689</c:v>
                </c:pt>
                <c:pt idx="660">
                  <c:v>36.614600000000692</c:v>
                </c:pt>
                <c:pt idx="661">
                  <c:v>36.614700000000695</c:v>
                </c:pt>
                <c:pt idx="662">
                  <c:v>36.614800000000699</c:v>
                </c:pt>
                <c:pt idx="663">
                  <c:v>36.614900000000702</c:v>
                </c:pt>
                <c:pt idx="664">
                  <c:v>36.615000000000705</c:v>
                </c:pt>
                <c:pt idx="665">
                  <c:v>36.615100000000709</c:v>
                </c:pt>
                <c:pt idx="666">
                  <c:v>36.615200000000712</c:v>
                </c:pt>
                <c:pt idx="667">
                  <c:v>36.615300000000715</c:v>
                </c:pt>
                <c:pt idx="668">
                  <c:v>36.615400000000719</c:v>
                </c:pt>
                <c:pt idx="669">
                  <c:v>36.615500000000722</c:v>
                </c:pt>
                <c:pt idx="670">
                  <c:v>36.615600000000725</c:v>
                </c:pt>
                <c:pt idx="671">
                  <c:v>36.615700000000729</c:v>
                </c:pt>
                <c:pt idx="672">
                  <c:v>36.615800000000732</c:v>
                </c:pt>
                <c:pt idx="673">
                  <c:v>36.615900000000735</c:v>
                </c:pt>
                <c:pt idx="674">
                  <c:v>36.616000000000739</c:v>
                </c:pt>
                <c:pt idx="675">
                  <c:v>36.616100000000742</c:v>
                </c:pt>
                <c:pt idx="676">
                  <c:v>36.616200000000745</c:v>
                </c:pt>
                <c:pt idx="677">
                  <c:v>36.616300000000749</c:v>
                </c:pt>
                <c:pt idx="678">
                  <c:v>36.616400000000752</c:v>
                </c:pt>
                <c:pt idx="679">
                  <c:v>36.616500000000755</c:v>
                </c:pt>
                <c:pt idx="680">
                  <c:v>36.616600000000759</c:v>
                </c:pt>
                <c:pt idx="681">
                  <c:v>36.616700000000762</c:v>
                </c:pt>
                <c:pt idx="682">
                  <c:v>36.616800000000765</c:v>
                </c:pt>
                <c:pt idx="683">
                  <c:v>36.616900000000769</c:v>
                </c:pt>
                <c:pt idx="684">
                  <c:v>36.617000000000772</c:v>
                </c:pt>
                <c:pt idx="685">
                  <c:v>36.617100000000775</c:v>
                </c:pt>
                <c:pt idx="686">
                  <c:v>36.617200000000778</c:v>
                </c:pt>
                <c:pt idx="687">
                  <c:v>36.617300000000782</c:v>
                </c:pt>
                <c:pt idx="688">
                  <c:v>36.617400000000785</c:v>
                </c:pt>
                <c:pt idx="689">
                  <c:v>36.617500000000788</c:v>
                </c:pt>
                <c:pt idx="690">
                  <c:v>36.617600000000792</c:v>
                </c:pt>
                <c:pt idx="691">
                  <c:v>36.617700000000795</c:v>
                </c:pt>
                <c:pt idx="692">
                  <c:v>36.617800000000798</c:v>
                </c:pt>
                <c:pt idx="693">
                  <c:v>36.617900000000802</c:v>
                </c:pt>
                <c:pt idx="694">
                  <c:v>36.618000000000805</c:v>
                </c:pt>
                <c:pt idx="695">
                  <c:v>36.618100000000808</c:v>
                </c:pt>
                <c:pt idx="696">
                  <c:v>36.618200000000812</c:v>
                </c:pt>
                <c:pt idx="697">
                  <c:v>36.618300000000815</c:v>
                </c:pt>
                <c:pt idx="698">
                  <c:v>36.618400000000818</c:v>
                </c:pt>
                <c:pt idx="699">
                  <c:v>36.618500000000822</c:v>
                </c:pt>
                <c:pt idx="700">
                  <c:v>36.618600000000825</c:v>
                </c:pt>
                <c:pt idx="701">
                  <c:v>36.618700000000828</c:v>
                </c:pt>
                <c:pt idx="702">
                  <c:v>36.618800000000832</c:v>
                </c:pt>
                <c:pt idx="703">
                  <c:v>36.618900000000835</c:v>
                </c:pt>
                <c:pt idx="704">
                  <c:v>36.619000000000838</c:v>
                </c:pt>
                <c:pt idx="705">
                  <c:v>36.619100000000842</c:v>
                </c:pt>
                <c:pt idx="706">
                  <c:v>36.619200000000845</c:v>
                </c:pt>
                <c:pt idx="707">
                  <c:v>36.619300000000848</c:v>
                </c:pt>
                <c:pt idx="708">
                  <c:v>36.619400000000851</c:v>
                </c:pt>
                <c:pt idx="709">
                  <c:v>36.619500000000855</c:v>
                </c:pt>
                <c:pt idx="710">
                  <c:v>36.619600000000858</c:v>
                </c:pt>
                <c:pt idx="711">
                  <c:v>36.619700000000861</c:v>
                </c:pt>
                <c:pt idx="712">
                  <c:v>36.619800000000865</c:v>
                </c:pt>
                <c:pt idx="713">
                  <c:v>36.619900000000868</c:v>
                </c:pt>
                <c:pt idx="714">
                  <c:v>36.620000000000871</c:v>
                </c:pt>
                <c:pt idx="715">
                  <c:v>36.620100000000875</c:v>
                </c:pt>
                <c:pt idx="716">
                  <c:v>36.620200000000878</c:v>
                </c:pt>
                <c:pt idx="717">
                  <c:v>36.620300000000881</c:v>
                </c:pt>
                <c:pt idx="718">
                  <c:v>36.620400000000885</c:v>
                </c:pt>
                <c:pt idx="719">
                  <c:v>36.620500000000888</c:v>
                </c:pt>
                <c:pt idx="720">
                  <c:v>36.620600000000891</c:v>
                </c:pt>
                <c:pt idx="721">
                  <c:v>36.620700000000895</c:v>
                </c:pt>
                <c:pt idx="722">
                  <c:v>36.620800000000898</c:v>
                </c:pt>
                <c:pt idx="723">
                  <c:v>36.620900000000901</c:v>
                </c:pt>
                <c:pt idx="724">
                  <c:v>36.621000000000905</c:v>
                </c:pt>
                <c:pt idx="725">
                  <c:v>36.621100000000908</c:v>
                </c:pt>
                <c:pt idx="726">
                  <c:v>36.621200000000911</c:v>
                </c:pt>
                <c:pt idx="727">
                  <c:v>36.621300000000915</c:v>
                </c:pt>
                <c:pt idx="728">
                  <c:v>36.621400000000918</c:v>
                </c:pt>
                <c:pt idx="729">
                  <c:v>36.621500000000921</c:v>
                </c:pt>
                <c:pt idx="730">
                  <c:v>36.621600000000925</c:v>
                </c:pt>
                <c:pt idx="731">
                  <c:v>36.621700000000928</c:v>
                </c:pt>
                <c:pt idx="732">
                  <c:v>36.621800000000931</c:v>
                </c:pt>
                <c:pt idx="733">
                  <c:v>36.621900000000934</c:v>
                </c:pt>
                <c:pt idx="734">
                  <c:v>36.622000000000938</c:v>
                </c:pt>
                <c:pt idx="735">
                  <c:v>36.622100000000941</c:v>
                </c:pt>
                <c:pt idx="736">
                  <c:v>36.622200000000944</c:v>
                </c:pt>
                <c:pt idx="737">
                  <c:v>36.622300000000948</c:v>
                </c:pt>
                <c:pt idx="738">
                  <c:v>36.622400000000951</c:v>
                </c:pt>
                <c:pt idx="739">
                  <c:v>36.622500000000954</c:v>
                </c:pt>
                <c:pt idx="740">
                  <c:v>36.622600000000958</c:v>
                </c:pt>
                <c:pt idx="741">
                  <c:v>36.622700000000961</c:v>
                </c:pt>
                <c:pt idx="742">
                  <c:v>36.622800000000964</c:v>
                </c:pt>
                <c:pt idx="743">
                  <c:v>36.622900000000968</c:v>
                </c:pt>
                <c:pt idx="744">
                  <c:v>36.623000000000971</c:v>
                </c:pt>
                <c:pt idx="745">
                  <c:v>36.623100000000974</c:v>
                </c:pt>
                <c:pt idx="746">
                  <c:v>36.623200000000978</c:v>
                </c:pt>
                <c:pt idx="747">
                  <c:v>36.623300000000981</c:v>
                </c:pt>
                <c:pt idx="748">
                  <c:v>36.623400000000984</c:v>
                </c:pt>
                <c:pt idx="749">
                  <c:v>36.623500000000988</c:v>
                </c:pt>
                <c:pt idx="750">
                  <c:v>36.623600000000991</c:v>
                </c:pt>
                <c:pt idx="751">
                  <c:v>36.623700000000994</c:v>
                </c:pt>
                <c:pt idx="752">
                  <c:v>36.623800000000998</c:v>
                </c:pt>
                <c:pt idx="753">
                  <c:v>36.623900000001001</c:v>
                </c:pt>
                <c:pt idx="754">
                  <c:v>36.624000000001004</c:v>
                </c:pt>
                <c:pt idx="755">
                  <c:v>36.624100000001008</c:v>
                </c:pt>
                <c:pt idx="756">
                  <c:v>36.624200000001011</c:v>
                </c:pt>
                <c:pt idx="757">
                  <c:v>36.624300000001014</c:v>
                </c:pt>
                <c:pt idx="758">
                  <c:v>36.624400000001017</c:v>
                </c:pt>
                <c:pt idx="759">
                  <c:v>36.624500000001021</c:v>
                </c:pt>
                <c:pt idx="760">
                  <c:v>36.624600000001024</c:v>
                </c:pt>
                <c:pt idx="761">
                  <c:v>36.624700000001027</c:v>
                </c:pt>
                <c:pt idx="762">
                  <c:v>36.624800000001031</c:v>
                </c:pt>
                <c:pt idx="763">
                  <c:v>36.624900000001034</c:v>
                </c:pt>
                <c:pt idx="764">
                  <c:v>36.625000000001037</c:v>
                </c:pt>
                <c:pt idx="765">
                  <c:v>36.625100000001041</c:v>
                </c:pt>
                <c:pt idx="766">
                  <c:v>36.625200000001044</c:v>
                </c:pt>
                <c:pt idx="767">
                  <c:v>36.625300000001047</c:v>
                </c:pt>
                <c:pt idx="768">
                  <c:v>36.625400000001051</c:v>
                </c:pt>
                <c:pt idx="769">
                  <c:v>36.625500000001054</c:v>
                </c:pt>
                <c:pt idx="770">
                  <c:v>36.625600000001057</c:v>
                </c:pt>
                <c:pt idx="771">
                  <c:v>36.625700000001061</c:v>
                </c:pt>
                <c:pt idx="772">
                  <c:v>36.625800000001064</c:v>
                </c:pt>
                <c:pt idx="773">
                  <c:v>36.625900000001067</c:v>
                </c:pt>
                <c:pt idx="774">
                  <c:v>36.626000000001071</c:v>
                </c:pt>
                <c:pt idx="775">
                  <c:v>36.626100000001074</c:v>
                </c:pt>
                <c:pt idx="776">
                  <c:v>36.626200000001077</c:v>
                </c:pt>
                <c:pt idx="777">
                  <c:v>36.626300000001081</c:v>
                </c:pt>
                <c:pt idx="778">
                  <c:v>36.626400000001084</c:v>
                </c:pt>
                <c:pt idx="779">
                  <c:v>36.626500000001087</c:v>
                </c:pt>
                <c:pt idx="780">
                  <c:v>36.626600000001091</c:v>
                </c:pt>
                <c:pt idx="781">
                  <c:v>36.626700000001094</c:v>
                </c:pt>
                <c:pt idx="782">
                  <c:v>36.626800000001097</c:v>
                </c:pt>
                <c:pt idx="783">
                  <c:v>36.6269000000011</c:v>
                </c:pt>
                <c:pt idx="784">
                  <c:v>36.627000000001104</c:v>
                </c:pt>
                <c:pt idx="785">
                  <c:v>36.627100000001107</c:v>
                </c:pt>
                <c:pt idx="786">
                  <c:v>36.62720000000111</c:v>
                </c:pt>
                <c:pt idx="787">
                  <c:v>36.627300000001114</c:v>
                </c:pt>
                <c:pt idx="788">
                  <c:v>36.627400000001117</c:v>
                </c:pt>
                <c:pt idx="789">
                  <c:v>36.62750000000112</c:v>
                </c:pt>
                <c:pt idx="790">
                  <c:v>36.627600000001124</c:v>
                </c:pt>
                <c:pt idx="791">
                  <c:v>36.627700000001127</c:v>
                </c:pt>
                <c:pt idx="792">
                  <c:v>36.62780000000113</c:v>
                </c:pt>
                <c:pt idx="793">
                  <c:v>36.627900000001134</c:v>
                </c:pt>
                <c:pt idx="794">
                  <c:v>36.628000000001137</c:v>
                </c:pt>
                <c:pt idx="795">
                  <c:v>36.62810000000114</c:v>
                </c:pt>
                <c:pt idx="796">
                  <c:v>36.628200000001144</c:v>
                </c:pt>
                <c:pt idx="797">
                  <c:v>36.628300000001147</c:v>
                </c:pt>
                <c:pt idx="798">
                  <c:v>36.62840000000115</c:v>
                </c:pt>
                <c:pt idx="799">
                  <c:v>36.628500000001154</c:v>
                </c:pt>
                <c:pt idx="800">
                  <c:v>36.628600000001157</c:v>
                </c:pt>
                <c:pt idx="801">
                  <c:v>36.62870000000116</c:v>
                </c:pt>
                <c:pt idx="802">
                  <c:v>36.628800000001164</c:v>
                </c:pt>
                <c:pt idx="803">
                  <c:v>36.628900000001167</c:v>
                </c:pt>
                <c:pt idx="804">
                  <c:v>36.62900000000117</c:v>
                </c:pt>
                <c:pt idx="805">
                  <c:v>36.629100000001173</c:v>
                </c:pt>
                <c:pt idx="806">
                  <c:v>36.629200000001177</c:v>
                </c:pt>
                <c:pt idx="807">
                  <c:v>36.62930000000118</c:v>
                </c:pt>
                <c:pt idx="808">
                  <c:v>36.629400000001183</c:v>
                </c:pt>
                <c:pt idx="809">
                  <c:v>36.629500000001187</c:v>
                </c:pt>
                <c:pt idx="810">
                  <c:v>36.62960000000119</c:v>
                </c:pt>
                <c:pt idx="811">
                  <c:v>36.629700000001193</c:v>
                </c:pt>
                <c:pt idx="812">
                  <c:v>36.629800000001197</c:v>
                </c:pt>
                <c:pt idx="813">
                  <c:v>36.6299000000012</c:v>
                </c:pt>
                <c:pt idx="814">
                  <c:v>36.630000000001203</c:v>
                </c:pt>
                <c:pt idx="815">
                  <c:v>36.630100000001207</c:v>
                </c:pt>
                <c:pt idx="816">
                  <c:v>36.63020000000121</c:v>
                </c:pt>
                <c:pt idx="817">
                  <c:v>36.630300000001213</c:v>
                </c:pt>
                <c:pt idx="818">
                  <c:v>36.630400000001217</c:v>
                </c:pt>
                <c:pt idx="819">
                  <c:v>36.63050000000122</c:v>
                </c:pt>
                <c:pt idx="820">
                  <c:v>36.630600000001223</c:v>
                </c:pt>
                <c:pt idx="821">
                  <c:v>36.630700000001227</c:v>
                </c:pt>
                <c:pt idx="822">
                  <c:v>36.63080000000123</c:v>
                </c:pt>
                <c:pt idx="823">
                  <c:v>36.630900000001233</c:v>
                </c:pt>
                <c:pt idx="824">
                  <c:v>36.631000000001237</c:v>
                </c:pt>
                <c:pt idx="825">
                  <c:v>36.63110000000124</c:v>
                </c:pt>
                <c:pt idx="826">
                  <c:v>36.631200000001243</c:v>
                </c:pt>
                <c:pt idx="827">
                  <c:v>36.631300000001247</c:v>
                </c:pt>
                <c:pt idx="828">
                  <c:v>36.63140000000125</c:v>
                </c:pt>
                <c:pt idx="829">
                  <c:v>36.631500000001253</c:v>
                </c:pt>
                <c:pt idx="830">
                  <c:v>36.631600000001256</c:v>
                </c:pt>
                <c:pt idx="831">
                  <c:v>36.63170000000126</c:v>
                </c:pt>
                <c:pt idx="832">
                  <c:v>36.631800000001263</c:v>
                </c:pt>
                <c:pt idx="833">
                  <c:v>36.631900000001266</c:v>
                </c:pt>
                <c:pt idx="834">
                  <c:v>36.63200000000127</c:v>
                </c:pt>
                <c:pt idx="835">
                  <c:v>36.632100000001273</c:v>
                </c:pt>
                <c:pt idx="836">
                  <c:v>36.632200000001276</c:v>
                </c:pt>
                <c:pt idx="837">
                  <c:v>36.63230000000128</c:v>
                </c:pt>
                <c:pt idx="838">
                  <c:v>36.632400000001283</c:v>
                </c:pt>
                <c:pt idx="839">
                  <c:v>36.632500000001286</c:v>
                </c:pt>
                <c:pt idx="840">
                  <c:v>36.63260000000129</c:v>
                </c:pt>
                <c:pt idx="841">
                  <c:v>36.632700000001293</c:v>
                </c:pt>
                <c:pt idx="842">
                  <c:v>36.632800000001296</c:v>
                </c:pt>
                <c:pt idx="843">
                  <c:v>36.6329000000013</c:v>
                </c:pt>
                <c:pt idx="844">
                  <c:v>36.633000000001303</c:v>
                </c:pt>
                <c:pt idx="845">
                  <c:v>36.633100000001306</c:v>
                </c:pt>
                <c:pt idx="846">
                  <c:v>36.63320000000131</c:v>
                </c:pt>
                <c:pt idx="847">
                  <c:v>36.633300000001313</c:v>
                </c:pt>
                <c:pt idx="848">
                  <c:v>36.633400000001316</c:v>
                </c:pt>
                <c:pt idx="849">
                  <c:v>36.63350000000132</c:v>
                </c:pt>
                <c:pt idx="850">
                  <c:v>36.633600000001323</c:v>
                </c:pt>
                <c:pt idx="851">
                  <c:v>36.633700000001326</c:v>
                </c:pt>
                <c:pt idx="852">
                  <c:v>36.63380000000133</c:v>
                </c:pt>
                <c:pt idx="853">
                  <c:v>36.633900000001333</c:v>
                </c:pt>
                <c:pt idx="854">
                  <c:v>36.634000000001336</c:v>
                </c:pt>
                <c:pt idx="855">
                  <c:v>36.634100000001339</c:v>
                </c:pt>
                <c:pt idx="856">
                  <c:v>36.634200000001343</c:v>
                </c:pt>
                <c:pt idx="857">
                  <c:v>36.634300000001346</c:v>
                </c:pt>
                <c:pt idx="858">
                  <c:v>36.634400000001349</c:v>
                </c:pt>
                <c:pt idx="859">
                  <c:v>36.634500000001353</c:v>
                </c:pt>
                <c:pt idx="860">
                  <c:v>36.634600000001356</c:v>
                </c:pt>
                <c:pt idx="861">
                  <c:v>36.634700000001359</c:v>
                </c:pt>
                <c:pt idx="862">
                  <c:v>36.634800000001363</c:v>
                </c:pt>
                <c:pt idx="863">
                  <c:v>36.634900000001366</c:v>
                </c:pt>
                <c:pt idx="864">
                  <c:v>36.635000000001369</c:v>
                </c:pt>
                <c:pt idx="865">
                  <c:v>36.635100000001373</c:v>
                </c:pt>
                <c:pt idx="866">
                  <c:v>36.635200000001376</c:v>
                </c:pt>
                <c:pt idx="867">
                  <c:v>36.635300000001379</c:v>
                </c:pt>
                <c:pt idx="868">
                  <c:v>36.635400000001383</c:v>
                </c:pt>
                <c:pt idx="869">
                  <c:v>36.635500000001386</c:v>
                </c:pt>
                <c:pt idx="870">
                  <c:v>36.635600000001389</c:v>
                </c:pt>
                <c:pt idx="871">
                  <c:v>36.635700000001393</c:v>
                </c:pt>
                <c:pt idx="872">
                  <c:v>36.635800000001396</c:v>
                </c:pt>
                <c:pt idx="873">
                  <c:v>36.635900000001399</c:v>
                </c:pt>
                <c:pt idx="874">
                  <c:v>36.636000000001403</c:v>
                </c:pt>
                <c:pt idx="875">
                  <c:v>36.636100000001406</c:v>
                </c:pt>
                <c:pt idx="876">
                  <c:v>36.636200000001409</c:v>
                </c:pt>
                <c:pt idx="877">
                  <c:v>36.636300000001413</c:v>
                </c:pt>
                <c:pt idx="878">
                  <c:v>36.636400000001416</c:v>
                </c:pt>
                <c:pt idx="879">
                  <c:v>36.636500000001419</c:v>
                </c:pt>
                <c:pt idx="880">
                  <c:v>36.636600000001422</c:v>
                </c:pt>
                <c:pt idx="881">
                  <c:v>36.636700000001426</c:v>
                </c:pt>
                <c:pt idx="882">
                  <c:v>36.636800000001429</c:v>
                </c:pt>
                <c:pt idx="883">
                  <c:v>36.636900000001432</c:v>
                </c:pt>
                <c:pt idx="884">
                  <c:v>36.637000000001436</c:v>
                </c:pt>
                <c:pt idx="885">
                  <c:v>36.637100000001439</c:v>
                </c:pt>
                <c:pt idx="886">
                  <c:v>36.637200000001442</c:v>
                </c:pt>
                <c:pt idx="887">
                  <c:v>36.637300000001446</c:v>
                </c:pt>
                <c:pt idx="888">
                  <c:v>36.637400000001449</c:v>
                </c:pt>
                <c:pt idx="889">
                  <c:v>36.637500000001452</c:v>
                </c:pt>
                <c:pt idx="890">
                  <c:v>36.637600000001456</c:v>
                </c:pt>
                <c:pt idx="891">
                  <c:v>36.637700000001459</c:v>
                </c:pt>
                <c:pt idx="892">
                  <c:v>36.637800000001462</c:v>
                </c:pt>
                <c:pt idx="893">
                  <c:v>36.637900000001466</c:v>
                </c:pt>
                <c:pt idx="894">
                  <c:v>36.638000000001469</c:v>
                </c:pt>
                <c:pt idx="895">
                  <c:v>36.638100000001472</c:v>
                </c:pt>
                <c:pt idx="896">
                  <c:v>36.638200000001476</c:v>
                </c:pt>
                <c:pt idx="897">
                  <c:v>36.638300000001479</c:v>
                </c:pt>
                <c:pt idx="898">
                  <c:v>36.638400000001482</c:v>
                </c:pt>
                <c:pt idx="899">
                  <c:v>36.638500000001486</c:v>
                </c:pt>
                <c:pt idx="900">
                  <c:v>36.638600000001489</c:v>
                </c:pt>
                <c:pt idx="901">
                  <c:v>36.638700000001492</c:v>
                </c:pt>
                <c:pt idx="902">
                  <c:v>36.638800000001496</c:v>
                </c:pt>
                <c:pt idx="903">
                  <c:v>36.638900000001499</c:v>
                </c:pt>
                <c:pt idx="904">
                  <c:v>36.639000000001502</c:v>
                </c:pt>
                <c:pt idx="905">
                  <c:v>36.639100000001505</c:v>
                </c:pt>
                <c:pt idx="906">
                  <c:v>36.639200000001509</c:v>
                </c:pt>
                <c:pt idx="907">
                  <c:v>36.639300000001512</c:v>
                </c:pt>
                <c:pt idx="908">
                  <c:v>36.639400000001515</c:v>
                </c:pt>
                <c:pt idx="909">
                  <c:v>36.639500000001519</c:v>
                </c:pt>
                <c:pt idx="910">
                  <c:v>36.639600000001522</c:v>
                </c:pt>
                <c:pt idx="911">
                  <c:v>36.639700000001525</c:v>
                </c:pt>
                <c:pt idx="912">
                  <c:v>36.639800000001529</c:v>
                </c:pt>
                <c:pt idx="913">
                  <c:v>36.639900000001532</c:v>
                </c:pt>
                <c:pt idx="914">
                  <c:v>36.640000000001535</c:v>
                </c:pt>
                <c:pt idx="915">
                  <c:v>36.640100000001539</c:v>
                </c:pt>
                <c:pt idx="916">
                  <c:v>36.640200000001542</c:v>
                </c:pt>
                <c:pt idx="917">
                  <c:v>36.640300000001545</c:v>
                </c:pt>
                <c:pt idx="918">
                  <c:v>36.640400000001549</c:v>
                </c:pt>
                <c:pt idx="919">
                  <c:v>36.640500000001552</c:v>
                </c:pt>
                <c:pt idx="920">
                  <c:v>36.640600000001555</c:v>
                </c:pt>
                <c:pt idx="921">
                  <c:v>36.640700000001559</c:v>
                </c:pt>
                <c:pt idx="922">
                  <c:v>36.640800000001562</c:v>
                </c:pt>
                <c:pt idx="923">
                  <c:v>36.640900000001565</c:v>
                </c:pt>
                <c:pt idx="924">
                  <c:v>36.641000000001569</c:v>
                </c:pt>
                <c:pt idx="925">
                  <c:v>36.641100000001572</c:v>
                </c:pt>
                <c:pt idx="926">
                  <c:v>36.641200000001575</c:v>
                </c:pt>
                <c:pt idx="927">
                  <c:v>36.641300000001578</c:v>
                </c:pt>
                <c:pt idx="928">
                  <c:v>36.641400000001582</c:v>
                </c:pt>
                <c:pt idx="929">
                  <c:v>36.641500000001585</c:v>
                </c:pt>
                <c:pt idx="930">
                  <c:v>36.641600000001588</c:v>
                </c:pt>
                <c:pt idx="931">
                  <c:v>36.641700000001592</c:v>
                </c:pt>
                <c:pt idx="932">
                  <c:v>36.641800000001595</c:v>
                </c:pt>
                <c:pt idx="933">
                  <c:v>36.641900000001598</c:v>
                </c:pt>
                <c:pt idx="934">
                  <c:v>36.642000000001602</c:v>
                </c:pt>
                <c:pt idx="935">
                  <c:v>36.642100000001605</c:v>
                </c:pt>
                <c:pt idx="936">
                  <c:v>36.642200000001608</c:v>
                </c:pt>
                <c:pt idx="937">
                  <c:v>36.642300000001612</c:v>
                </c:pt>
                <c:pt idx="938">
                  <c:v>36.642400000001615</c:v>
                </c:pt>
                <c:pt idx="939">
                  <c:v>36.642500000001618</c:v>
                </c:pt>
                <c:pt idx="940">
                  <c:v>36.642600000001622</c:v>
                </c:pt>
                <c:pt idx="941">
                  <c:v>36.642700000001625</c:v>
                </c:pt>
                <c:pt idx="942">
                  <c:v>36.642800000001628</c:v>
                </c:pt>
                <c:pt idx="943">
                  <c:v>36.642900000001632</c:v>
                </c:pt>
                <c:pt idx="944">
                  <c:v>36.643000000001635</c:v>
                </c:pt>
                <c:pt idx="945">
                  <c:v>36.643100000001638</c:v>
                </c:pt>
                <c:pt idx="946">
                  <c:v>36.643200000001642</c:v>
                </c:pt>
                <c:pt idx="947">
                  <c:v>36.643300000001645</c:v>
                </c:pt>
                <c:pt idx="948">
                  <c:v>36.643400000001648</c:v>
                </c:pt>
                <c:pt idx="949">
                  <c:v>36.643500000001652</c:v>
                </c:pt>
                <c:pt idx="950">
                  <c:v>36.643600000001655</c:v>
                </c:pt>
                <c:pt idx="951">
                  <c:v>36.643700000001658</c:v>
                </c:pt>
                <c:pt idx="952">
                  <c:v>36.643800000001661</c:v>
                </c:pt>
                <c:pt idx="953">
                  <c:v>36.643900000001665</c:v>
                </c:pt>
                <c:pt idx="954">
                  <c:v>36.644000000001668</c:v>
                </c:pt>
                <c:pt idx="955">
                  <c:v>36.644100000001671</c:v>
                </c:pt>
                <c:pt idx="956">
                  <c:v>36.644200000001675</c:v>
                </c:pt>
                <c:pt idx="957">
                  <c:v>36.644300000001678</c:v>
                </c:pt>
                <c:pt idx="958">
                  <c:v>36.644400000001681</c:v>
                </c:pt>
                <c:pt idx="959">
                  <c:v>36.644500000001685</c:v>
                </c:pt>
                <c:pt idx="960">
                  <c:v>36.644600000001688</c:v>
                </c:pt>
                <c:pt idx="961">
                  <c:v>36.644700000001691</c:v>
                </c:pt>
                <c:pt idx="962">
                  <c:v>36.644800000001695</c:v>
                </c:pt>
                <c:pt idx="963">
                  <c:v>36.644900000001698</c:v>
                </c:pt>
                <c:pt idx="964">
                  <c:v>36.645000000001701</c:v>
                </c:pt>
                <c:pt idx="965">
                  <c:v>36.645100000001705</c:v>
                </c:pt>
                <c:pt idx="966">
                  <c:v>36.645200000001708</c:v>
                </c:pt>
                <c:pt idx="967">
                  <c:v>36.645300000001711</c:v>
                </c:pt>
                <c:pt idx="968">
                  <c:v>36.645400000001715</c:v>
                </c:pt>
                <c:pt idx="969">
                  <c:v>36.645500000001718</c:v>
                </c:pt>
                <c:pt idx="970">
                  <c:v>36.645600000001721</c:v>
                </c:pt>
                <c:pt idx="971">
                  <c:v>36.645700000001725</c:v>
                </c:pt>
                <c:pt idx="972">
                  <c:v>36.645800000001728</c:v>
                </c:pt>
                <c:pt idx="973">
                  <c:v>36.645900000001731</c:v>
                </c:pt>
                <c:pt idx="974">
                  <c:v>36.646000000001735</c:v>
                </c:pt>
                <c:pt idx="975">
                  <c:v>36.646100000001738</c:v>
                </c:pt>
                <c:pt idx="976">
                  <c:v>36.646200000001741</c:v>
                </c:pt>
                <c:pt idx="977">
                  <c:v>36.646300000001744</c:v>
                </c:pt>
                <c:pt idx="978">
                  <c:v>36.646400000001748</c:v>
                </c:pt>
                <c:pt idx="979">
                  <c:v>36.646500000001751</c:v>
                </c:pt>
                <c:pt idx="980">
                  <c:v>36.646600000001754</c:v>
                </c:pt>
                <c:pt idx="981">
                  <c:v>36.646700000001758</c:v>
                </c:pt>
                <c:pt idx="982">
                  <c:v>36.646800000001761</c:v>
                </c:pt>
                <c:pt idx="983">
                  <c:v>36.646900000001764</c:v>
                </c:pt>
                <c:pt idx="984">
                  <c:v>36.647000000001768</c:v>
                </c:pt>
                <c:pt idx="985">
                  <c:v>36.647100000001771</c:v>
                </c:pt>
                <c:pt idx="986">
                  <c:v>36.647200000001774</c:v>
                </c:pt>
                <c:pt idx="987">
                  <c:v>36.647300000001778</c:v>
                </c:pt>
                <c:pt idx="988">
                  <c:v>36.647400000001781</c:v>
                </c:pt>
                <c:pt idx="989">
                  <c:v>36.647500000001784</c:v>
                </c:pt>
                <c:pt idx="990">
                  <c:v>36.647600000001788</c:v>
                </c:pt>
                <c:pt idx="991">
                  <c:v>36.647700000001791</c:v>
                </c:pt>
                <c:pt idx="992">
                  <c:v>36.647800000001794</c:v>
                </c:pt>
                <c:pt idx="993">
                  <c:v>36.647900000001798</c:v>
                </c:pt>
                <c:pt idx="994">
                  <c:v>36.648000000001801</c:v>
                </c:pt>
                <c:pt idx="995">
                  <c:v>36.648100000001804</c:v>
                </c:pt>
                <c:pt idx="996">
                  <c:v>36.648200000001808</c:v>
                </c:pt>
                <c:pt idx="997">
                  <c:v>36.648300000001811</c:v>
                </c:pt>
                <c:pt idx="998">
                  <c:v>36.648400000001814</c:v>
                </c:pt>
                <c:pt idx="999">
                  <c:v>36.648500000001818</c:v>
                </c:pt>
                <c:pt idx="1000">
                  <c:v>36.648600000001821</c:v>
                </c:pt>
              </c:numCache>
            </c:numRef>
          </c:xVal>
          <c:yVal>
            <c:numRef>
              <c:f>Calculs!$J$4:$J$1004</c:f>
              <c:numCache>
                <c:formatCode>0.00</c:formatCode>
                <c:ptCount val="1001"/>
                <c:pt idx="0">
                  <c:v>100.55190764607381</c:v>
                </c:pt>
                <c:pt idx="1">
                  <c:v>100.92604032284854</c:v>
                </c:pt>
                <c:pt idx="2">
                  <c:v>101.30056185187142</c:v>
                </c:pt>
                <c:pt idx="3">
                  <c:v>101.67615520798351</c:v>
                </c:pt>
                <c:pt idx="4">
                  <c:v>102.05294395472689</c:v>
                </c:pt>
                <c:pt idx="5">
                  <c:v>102.43080894283966</c:v>
                </c:pt>
                <c:pt idx="6">
                  <c:v>102.80970501910835</c:v>
                </c:pt>
                <c:pt idx="7">
                  <c:v>103.18962403209747</c:v>
                </c:pt>
                <c:pt idx="8">
                  <c:v>103.57055783392802</c:v>
                </c:pt>
                <c:pt idx="9">
                  <c:v>103.95249828051944</c:v>
                </c:pt>
                <c:pt idx="10">
                  <c:v>104.33543723182839</c:v>
                </c:pt>
                <c:pt idx="11">
                  <c:v>104.71936655208435</c:v>
                </c:pt>
                <c:pt idx="12">
                  <c:v>105.10427811002194</c:v>
                </c:pt>
                <c:pt idx="13">
                  <c:v>105.49016377911016</c:v>
                </c:pt>
                <c:pt idx="14">
                  <c:v>105.8770154377785</c:v>
                </c:pt>
                <c:pt idx="15">
                  <c:v>106.26482496963975</c:v>
                </c:pt>
                <c:pt idx="16">
                  <c:v>106.65358426370982</c:v>
                </c:pt>
                <c:pt idx="17">
                  <c:v>107.04328521462438</c:v>
                </c:pt>
                <c:pt idx="18">
                  <c:v>107.43391972285235</c:v>
                </c:pt>
                <c:pt idx="19">
                  <c:v>107.82547969490638</c:v>
                </c:pt>
                <c:pt idx="20">
                  <c:v>108.21795704355014</c:v>
                </c:pt>
                <c:pt idx="21">
                  <c:v>108.61134368800262</c:v>
                </c:pt>
                <c:pt idx="22">
                  <c:v>109.00563155413931</c:v>
                </c:pt>
                <c:pt idx="23">
                  <c:v>109.40081257469038</c:v>
                </c:pt>
                <c:pt idx="24">
                  <c:v>109.79687868943574</c:v>
                </c:pt>
                <c:pt idx="25">
                  <c:v>110.19382184539721</c:v>
                </c:pt>
                <c:pt idx="26">
                  <c:v>110.59163399702757</c:v>
                </c:pt>
                <c:pt idx="27">
                  <c:v>110.99030710639666</c:v>
                </c:pt>
                <c:pt idx="28">
                  <c:v>111.38983314337447</c:v>
                </c:pt>
                <c:pt idx="29">
                  <c:v>111.79020408581137</c:v>
                </c:pt>
                <c:pt idx="30">
                  <c:v>112.19141191971519</c:v>
                </c:pt>
                <c:pt idx="31">
                  <c:v>112.59344863942562</c:v>
                </c:pt>
                <c:pt idx="32">
                  <c:v>112.9963062477854</c:v>
                </c:pt>
                <c:pt idx="33">
                  <c:v>113.39997675630889</c:v>
                </c:pt>
                <c:pt idx="34">
                  <c:v>113.80445218534751</c:v>
                </c:pt>
                <c:pt idx="35">
                  <c:v>114.20972456425248</c:v>
                </c:pt>
                <c:pt idx="36">
                  <c:v>114.61578593153457</c:v>
                </c:pt>
                <c:pt idx="37">
                  <c:v>115.02262833502108</c:v>
                </c:pt>
                <c:pt idx="38">
                  <c:v>115.43024383200995</c:v>
                </c:pt>
                <c:pt idx="39">
                  <c:v>115.83862448942109</c:v>
                </c:pt>
                <c:pt idx="40">
                  <c:v>116.2477623839449</c:v>
                </c:pt>
                <c:pt idx="41">
                  <c:v>116.65764960218796</c:v>
                </c:pt>
                <c:pt idx="42">
                  <c:v>117.06827824081603</c:v>
                </c:pt>
                <c:pt idx="43">
                  <c:v>117.47964040669426</c:v>
                </c:pt>
                <c:pt idx="44">
                  <c:v>117.89172821702464</c:v>
                </c:pt>
                <c:pt idx="45">
                  <c:v>118.30453379948078</c:v>
                </c:pt>
                <c:pt idx="46">
                  <c:v>118.71804929233997</c:v>
                </c:pt>
                <c:pt idx="47">
                  <c:v>119.13226684461254</c:v>
                </c:pt>
                <c:pt idx="48">
                  <c:v>119.54717861616859</c:v>
                </c:pt>
                <c:pt idx="49">
                  <c:v>119.962776777862</c:v>
                </c:pt>
                <c:pt idx="50">
                  <c:v>120.3790535116519</c:v>
                </c:pt>
                <c:pt idx="51">
                  <c:v>120.79600101072143</c:v>
                </c:pt>
                <c:pt idx="52">
                  <c:v>121.21361147959395</c:v>
                </c:pt>
                <c:pt idx="53">
                  <c:v>121.63187713424669</c:v>
                </c:pt>
                <c:pt idx="54">
                  <c:v>122.05079020222178</c:v>
                </c:pt>
                <c:pt idx="55">
                  <c:v>122.47034292273473</c:v>
                </c:pt>
                <c:pt idx="56">
                  <c:v>122.89052754678043</c:v>
                </c:pt>
                <c:pt idx="57">
                  <c:v>123.31133633723663</c:v>
                </c:pt>
                <c:pt idx="58">
                  <c:v>123.73276156896485</c:v>
                </c:pt>
                <c:pt idx="59">
                  <c:v>124.15479552890891</c:v>
                </c:pt>
                <c:pt idx="60">
                  <c:v>124.5774305161909</c:v>
                </c:pt>
                <c:pt idx="61">
                  <c:v>125.00065884220486</c:v>
                </c:pt>
                <c:pt idx="62">
                  <c:v>125.42447283070778</c:v>
                </c:pt>
                <c:pt idx="63">
                  <c:v>125.84886149391824</c:v>
                </c:pt>
                <c:pt idx="64">
                  <c:v>126.27380721150455</c:v>
                </c:pt>
                <c:pt idx="65">
                  <c:v>126.69928906589641</c:v>
                </c:pt>
                <c:pt idx="66">
                  <c:v>127.12528617486321</c:v>
                </c:pt>
                <c:pt idx="67">
                  <c:v>127.55177463823554</c:v>
                </c:pt>
                <c:pt idx="68">
                  <c:v>127.97872448764024</c:v>
                </c:pt>
                <c:pt idx="69">
                  <c:v>128.4060973144752</c:v>
                </c:pt>
                <c:pt idx="70">
                  <c:v>128.83384390104194</c:v>
                </c:pt>
                <c:pt idx="71">
                  <c:v>129.2619096789256</c:v>
                </c:pt>
                <c:pt idx="72">
                  <c:v>129.69024018201853</c:v>
                </c:pt>
                <c:pt idx="73">
                  <c:v>130.11878104850328</c:v>
                </c:pt>
                <c:pt idx="74">
                  <c:v>130.5474780227371</c:v>
                </c:pt>
                <c:pt idx="75">
                  <c:v>130.97627695703846</c:v>
                </c:pt>
                <c:pt idx="76">
                  <c:v>131.4051238133766</c:v>
                </c:pt>
                <c:pt idx="77">
                  <c:v>131.83396466496453</c:v>
                </c:pt>
                <c:pt idx="78">
                  <c:v>132.26274569775643</c:v>
                </c:pt>
                <c:pt idx="79">
                  <c:v>132.69141321185018</c:v>
                </c:pt>
                <c:pt idx="80">
                  <c:v>133.11991362279562</c:v>
                </c:pt>
                <c:pt idx="81">
                  <c:v>133.54819997112764</c:v>
                </c:pt>
                <c:pt idx="82">
                  <c:v>133.97623842075626</c:v>
                </c:pt>
                <c:pt idx="83">
                  <c:v>134.40400172147773</c:v>
                </c:pt>
                <c:pt idx="84">
                  <c:v>134.83146268199144</c:v>
                </c:pt>
                <c:pt idx="85">
                  <c:v>135.25859416987581</c:v>
                </c:pt>
                <c:pt idx="86">
                  <c:v>135.68536911154206</c:v>
                </c:pt>
                <c:pt idx="87">
                  <c:v>136.1117604921661</c:v>
                </c:pt>
                <c:pt idx="88">
                  <c:v>136.53774135559871</c:v>
                </c:pt>
                <c:pt idx="89">
                  <c:v>136.96328686902487</c:v>
                </c:pt>
                <c:pt idx="90">
                  <c:v>137.3883763838366</c:v>
                </c:pt>
                <c:pt idx="91">
                  <c:v>137.8129913608669</c:v>
                </c:pt>
                <c:pt idx="92">
                  <c:v>138.23711329934775</c:v>
                </c:pt>
                <c:pt idx="93">
                  <c:v>138.6607242540052</c:v>
                </c:pt>
                <c:pt idx="94">
                  <c:v>139.08380735118584</c:v>
                </c:pt>
                <c:pt idx="95">
                  <c:v>139.50634626880674</c:v>
                </c:pt>
                <c:pt idx="96">
                  <c:v>139.92832471726067</c:v>
                </c:pt>
                <c:pt idx="97">
                  <c:v>140.34972851287969</c:v>
                </c:pt>
                <c:pt idx="98">
                  <c:v>140.77054764750375</c:v>
                </c:pt>
                <c:pt idx="99">
                  <c:v>141.1907742045525</c:v>
                </c:pt>
                <c:pt idx="100">
                  <c:v>141.61040027903402</c:v>
                </c:pt>
                <c:pt idx="101">
                  <c:v>142.02941797737574</c:v>
                </c:pt>
                <c:pt idx="102">
                  <c:v>142.44781941725401</c:v>
                </c:pt>
                <c:pt idx="103">
                  <c:v>142.86559672742277</c:v>
                </c:pt>
                <c:pt idx="104">
                  <c:v>143.28274204754115</c:v>
                </c:pt>
                <c:pt idx="105">
                  <c:v>143.69924752799989</c:v>
                </c:pt>
                <c:pt idx="106">
                  <c:v>144.11510532974677</c:v>
                </c:pt>
                <c:pt idx="107">
                  <c:v>144.53030762411097</c:v>
                </c:pt>
                <c:pt idx="108">
                  <c:v>144.94484659262636</c:v>
                </c:pt>
                <c:pt idx="109">
                  <c:v>145.35871703526783</c:v>
                </c:pt>
                <c:pt idx="110">
                  <c:v>145.77191897388084</c:v>
                </c:pt>
                <c:pt idx="111">
                  <c:v>146.18445503137644</c:v>
                </c:pt>
                <c:pt idx="112">
                  <c:v>146.59632781587854</c:v>
                </c:pt>
                <c:pt idx="113">
                  <c:v>147.00753992083642</c:v>
                </c:pt>
                <c:pt idx="114">
                  <c:v>147.41809392513633</c:v>
                </c:pt>
                <c:pt idx="115">
                  <c:v>147.82799239321179</c:v>
                </c:pt>
                <c:pt idx="116">
                  <c:v>148.237237875153</c:v>
                </c:pt>
                <c:pt idx="117">
                  <c:v>148.64583290681523</c:v>
                </c:pt>
                <c:pt idx="118">
                  <c:v>149.0537800099261</c:v>
                </c:pt>
                <c:pt idx="119">
                  <c:v>149.46108169219184</c:v>
                </c:pt>
                <c:pt idx="120">
                  <c:v>149.8677404474027</c:v>
                </c:pt>
                <c:pt idx="121">
                  <c:v>150.2737587555371</c:v>
                </c:pt>
                <c:pt idx="122">
                  <c:v>150.67913908286516</c:v>
                </c:pt>
                <c:pt idx="123">
                  <c:v>151.08388388205091</c:v>
                </c:pt>
                <c:pt idx="124">
                  <c:v>151.48799559225375</c:v>
                </c:pt>
                <c:pt idx="125">
                  <c:v>151.89147663922896</c:v>
                </c:pt>
                <c:pt idx="126">
                  <c:v>152.29432943542716</c:v>
                </c:pt>
                <c:pt idx="127">
                  <c:v>152.69655638009294</c:v>
                </c:pt>
                <c:pt idx="128">
                  <c:v>153.09815985936257</c:v>
                </c:pt>
                <c:pt idx="129">
                  <c:v>153.49914224636075</c:v>
                </c:pt>
                <c:pt idx="130">
                  <c:v>153.89950590129652</c:v>
                </c:pt>
                <c:pt idx="131">
                  <c:v>154.29925317155826</c:v>
                </c:pt>
                <c:pt idx="132">
                  <c:v>154.69838639180787</c:v>
                </c:pt>
                <c:pt idx="133">
                  <c:v>155.09690788407394</c:v>
                </c:pt>
                <c:pt idx="134">
                  <c:v>155.49481995784427</c:v>
                </c:pt>
                <c:pt idx="135">
                  <c:v>155.89212491015735</c:v>
                </c:pt>
                <c:pt idx="136">
                  <c:v>156.28882502569311</c:v>
                </c:pt>
                <c:pt idx="137">
                  <c:v>156.68492257686287</c:v>
                </c:pt>
                <c:pt idx="138">
                  <c:v>157.08041982389841</c:v>
                </c:pt>
                <c:pt idx="139">
                  <c:v>157.47531901494017</c:v>
                </c:pt>
                <c:pt idx="140">
                  <c:v>157.8696223861248</c:v>
                </c:pt>
                <c:pt idx="141">
                  <c:v>158.26333216167188</c:v>
                </c:pt>
                <c:pt idx="142">
                  <c:v>158.65645055396971</c:v>
                </c:pt>
                <c:pt idx="143">
                  <c:v>159.04897976366047</c:v>
                </c:pt>
                <c:pt idx="144">
                  <c:v>159.44092197972466</c:v>
                </c:pt>
                <c:pt idx="145">
                  <c:v>159.83227937956462</c:v>
                </c:pt>
                <c:pt idx="146">
                  <c:v>160.22305412908739</c:v>
                </c:pt>
                <c:pt idx="147">
                  <c:v>160.61324838278682</c:v>
                </c:pt>
                <c:pt idx="148">
                  <c:v>161.00286428382501</c:v>
                </c:pt>
                <c:pt idx="149">
                  <c:v>161.39190396411283</c:v>
                </c:pt>
                <c:pt idx="150">
                  <c:v>161.78036954438997</c:v>
                </c:pt>
                <c:pt idx="151">
                  <c:v>162.16826313430411</c:v>
                </c:pt>
                <c:pt idx="152">
                  <c:v>162.55558683248947</c:v>
                </c:pt>
                <c:pt idx="153">
                  <c:v>162.9423427266446</c:v>
                </c:pt>
                <c:pt idx="154">
                  <c:v>163.32853289360952</c:v>
                </c:pt>
                <c:pt idx="155">
                  <c:v>163.71415939944217</c:v>
                </c:pt>
                <c:pt idx="156">
                  <c:v>164.09922429949424</c:v>
                </c:pt>
                <c:pt idx="157">
                  <c:v>164.48372963848624</c:v>
                </c:pt>
                <c:pt idx="158">
                  <c:v>164.86767745058194</c:v>
                </c:pt>
                <c:pt idx="159">
                  <c:v>165.25106975946221</c:v>
                </c:pt>
                <c:pt idx="160">
                  <c:v>165.63390857839821</c:v>
                </c:pt>
                <c:pt idx="161">
                  <c:v>166.0161959103238</c:v>
                </c:pt>
                <c:pt idx="162">
                  <c:v>166.39793374790756</c:v>
                </c:pt>
                <c:pt idx="163">
                  <c:v>166.77912407362393</c:v>
                </c:pt>
                <c:pt idx="164">
                  <c:v>167.15976885982394</c:v>
                </c:pt>
                <c:pt idx="165">
                  <c:v>167.53987006880521</c:v>
                </c:pt>
                <c:pt idx="166">
                  <c:v>167.9194296528814</c:v>
                </c:pt>
                <c:pt idx="167">
                  <c:v>168.298449554451</c:v>
                </c:pt>
                <c:pt idx="168">
                  <c:v>168.67693170606557</c:v>
                </c:pt>
                <c:pt idx="169">
                  <c:v>169.05487803049741</c:v>
                </c:pt>
                <c:pt idx="170">
                  <c:v>169.43229044080658</c:v>
                </c:pt>
                <c:pt idx="171">
                  <c:v>169.80917084040746</c:v>
                </c:pt>
                <c:pt idx="172">
                  <c:v>170.18552112313461</c:v>
                </c:pt>
                <c:pt idx="173">
                  <c:v>170.56134317330813</c:v>
                </c:pt>
                <c:pt idx="174">
                  <c:v>170.93663886579847</c:v>
                </c:pt>
                <c:pt idx="175">
                  <c:v>171.3114100660907</c:v>
                </c:pt>
                <c:pt idx="176">
                  <c:v>171.6856586303482</c:v>
                </c:pt>
                <c:pt idx="177">
                  <c:v>172.05938640547578</c:v>
                </c:pt>
                <c:pt idx="178">
                  <c:v>172.43259522918234</c:v>
                </c:pt>
                <c:pt idx="179">
                  <c:v>172.805286930043</c:v>
                </c:pt>
                <c:pt idx="180">
                  <c:v>173.17746332756056</c:v>
                </c:pt>
                <c:pt idx="181">
                  <c:v>173.54912623222671</c:v>
                </c:pt>
                <c:pt idx="182">
                  <c:v>173.9202774455824</c:v>
                </c:pt>
                <c:pt idx="183">
                  <c:v>174.290918760278</c:v>
                </c:pt>
                <c:pt idx="184">
                  <c:v>174.6610519601328</c:v>
                </c:pt>
                <c:pt idx="185">
                  <c:v>175.03067882019394</c:v>
                </c:pt>
                <c:pt idx="186">
                  <c:v>175.39980110679511</c:v>
                </c:pt>
                <c:pt idx="187">
                  <c:v>175.76842057761442</c:v>
                </c:pt>
                <c:pt idx="188">
                  <c:v>176.13653898173212</c:v>
                </c:pt>
                <c:pt idx="189">
                  <c:v>176.5041580596876</c:v>
                </c:pt>
                <c:pt idx="190">
                  <c:v>176.87127954353599</c:v>
                </c:pt>
                <c:pt idx="191">
                  <c:v>177.23790515690433</c:v>
                </c:pt>
                <c:pt idx="192">
                  <c:v>177.60403661504728</c:v>
                </c:pt>
                <c:pt idx="193">
                  <c:v>177.96967562490224</c:v>
                </c:pt>
                <c:pt idx="194">
                  <c:v>178.33482388514423</c:v>
                </c:pt>
                <c:pt idx="195">
                  <c:v>178.69948308624012</c:v>
                </c:pt>
                <c:pt idx="196">
                  <c:v>179.06365491050252</c:v>
                </c:pt>
                <c:pt idx="197">
                  <c:v>179.4273410321432</c:v>
                </c:pt>
                <c:pt idx="198">
                  <c:v>179.79054311732608</c:v>
                </c:pt>
                <c:pt idx="199">
                  <c:v>180.15326282421978</c:v>
                </c:pt>
                <c:pt idx="200">
                  <c:v>180.51550180304974</c:v>
                </c:pt>
                <c:pt idx="201">
                  <c:v>184.11157874023593</c:v>
                </c:pt>
                <c:pt idx="202">
                  <c:v>187.66063740175545</c:v>
                </c:pt>
                <c:pt idx="203">
                  <c:v>191.16425679337243</c:v>
                </c:pt>
                <c:pt idx="204">
                  <c:v>194.62394279285203</c:v>
                </c:pt>
                <c:pt idx="205">
                  <c:v>198.04113270526688</c:v>
                </c:pt>
                <c:pt idx="206">
                  <c:v>201.41719946782726</c:v>
                </c:pt>
                <c:pt idx="207">
                  <c:v>204.75345553626181</c:v>
                </c:pt>
                <c:pt idx="208">
                  <c:v>208.05115648139795</c:v>
                </c:pt>
                <c:pt idx="209">
                  <c:v>211.31150432161854</c:v>
                </c:pt>
                <c:pt idx="210">
                  <c:v>214.53565061424416</c:v>
                </c:pt>
                <c:pt idx="211">
                  <c:v>217.72469932656918</c:v>
                </c:pt>
                <c:pt idx="212">
                  <c:v>220.87970950522075</c:v>
                </c:pt>
                <c:pt idx="213">
                  <c:v>224.00169776068293</c:v>
                </c:pt>
                <c:pt idx="214">
                  <c:v>227.0916405822033</c:v>
                </c:pt>
                <c:pt idx="215">
                  <c:v>230.15047649685027</c:v>
                </c:pt>
                <c:pt idx="216">
                  <c:v>233.17910808519844</c:v>
                </c:pt>
                <c:pt idx="217">
                  <c:v>236.17840386496238</c:v>
                </c:pt>
                <c:pt idx="218">
                  <c:v>239.14920005286635</c:v>
                </c:pt>
                <c:pt idx="219">
                  <c:v>242.09230221410851</c:v>
                </c:pt>
                <c:pt idx="220">
                  <c:v>245.0084868079457</c:v>
                </c:pt>
                <c:pt idx="221">
                  <c:v>247.89850263717545</c:v>
                </c:pt>
                <c:pt idx="222">
                  <c:v>250.76307220861648</c:v>
                </c:pt>
                <c:pt idx="223">
                  <c:v>253.60289301108037</c:v>
                </c:pt>
                <c:pt idx="224">
                  <c:v>256.41863871677708</c:v>
                </c:pt>
                <c:pt idx="225">
                  <c:v>259.21096031159942</c:v>
                </c:pt>
                <c:pt idx="226">
                  <c:v>261.98048715928081</c:v>
                </c:pt>
                <c:pt idx="227">
                  <c:v>264.72782800401296</c:v>
                </c:pt>
                <c:pt idx="228">
                  <c:v>267.45357191573822</c:v>
                </c:pt>
                <c:pt idx="229">
                  <c:v>270.15828918199435</c:v>
                </c:pt>
                <c:pt idx="230">
                  <c:v>272.8425321498828</c:v>
                </c:pt>
                <c:pt idx="231">
                  <c:v>275.50683602145193</c:v>
                </c:pt>
                <c:pt idx="232">
                  <c:v>278.15171960553005</c:v>
                </c:pt>
                <c:pt idx="233">
                  <c:v>280.77768602881218</c:v>
                </c:pt>
                <c:pt idx="234">
                  <c:v>283.38522340878882</c:v>
                </c:pt>
                <c:pt idx="235">
                  <c:v>285.97480549091119</c:v>
                </c:pt>
                <c:pt idx="236">
                  <c:v>288.54689225220818</c:v>
                </c:pt>
                <c:pt idx="237">
                  <c:v>291.10193047340493</c:v>
                </c:pt>
                <c:pt idx="238">
                  <c:v>293.64035428144274</c:v>
                </c:pt>
                <c:pt idx="239">
                  <c:v>296.16258566416099</c:v>
                </c:pt>
                <c:pt idx="240">
                  <c:v>298.66903495877284</c:v>
                </c:pt>
                <c:pt idx="241">
                  <c:v>301.16010131564877</c:v>
                </c:pt>
                <c:pt idx="242">
                  <c:v>303.63617313881304</c:v>
                </c:pt>
                <c:pt idx="243">
                  <c:v>306.09762850445628</c:v>
                </c:pt>
                <c:pt idx="244">
                  <c:v>308.54483555867398</c:v>
                </c:pt>
                <c:pt idx="245">
                  <c:v>310.97815289555388</c:v>
                </c:pt>
                <c:pt idx="246">
                  <c:v>313.39792991665399</c:v>
                </c:pt>
                <c:pt idx="247">
                  <c:v>315.80450717283736</c:v>
                </c:pt>
                <c:pt idx="248">
                  <c:v>318.19821668935936</c:v>
                </c:pt>
                <c:pt idx="249">
                  <c:v>320.57938227503723</c:v>
                </c:pt>
                <c:pt idx="250">
                  <c:v>322.94831981626947</c:v>
                </c:pt>
                <c:pt idx="251">
                  <c:v>325.30533755661446</c:v>
                </c:pt>
                <c:pt idx="252">
                  <c:v>327.65073636258188</c:v>
                </c:pt>
                <c:pt idx="253">
                  <c:v>329.9848099762396</c:v>
                </c:pt>
                <c:pt idx="254">
                  <c:v>332.30784525518692</c:v>
                </c:pt>
                <c:pt idx="255">
                  <c:v>334.62012240039923</c:v>
                </c:pt>
                <c:pt idx="256">
                  <c:v>336.92191517240275</c:v>
                </c:pt>
                <c:pt idx="257">
                  <c:v>339.21349109619365</c:v>
                </c:pt>
                <c:pt idx="258">
                  <c:v>341.49511165527343</c:v>
                </c:pt>
                <c:pt idx="259">
                  <c:v>343.7670324751312</c:v>
                </c:pt>
                <c:pt idx="260">
                  <c:v>346.02950349646113</c:v>
                </c:pt>
                <c:pt idx="261">
                  <c:v>348.28276913836476</c:v>
                </c:pt>
                <c:pt idx="262">
                  <c:v>350.52706845174635</c:v>
                </c:pt>
                <c:pt idx="263">
                  <c:v>352.76263526306946</c:v>
                </c:pt>
                <c:pt idx="264">
                  <c:v>354.98969830860358</c:v>
                </c:pt>
                <c:pt idx="265">
                  <c:v>357.20848135924774</c:v>
                </c:pt>
                <c:pt idx="266">
                  <c:v>359.4192033359767</c:v>
                </c:pt>
                <c:pt idx="267">
                  <c:v>361.62207841591407</c:v>
                </c:pt>
                <c:pt idx="268">
                  <c:v>363.81731612899159</c:v>
                </c:pt>
                <c:pt idx="269">
                  <c:v>366.00512144511066</c:v>
                </c:pt>
                <c:pt idx="270">
                  <c:v>368.18569485167592</c:v>
                </c:pt>
                <c:pt idx="271">
                  <c:v>370.35923242132276</c:v>
                </c:pt>
                <c:pt idx="272">
                  <c:v>372.52592586961379</c:v>
                </c:pt>
                <c:pt idx="273">
                  <c:v>374.68596260242811</c:v>
                </c:pt>
                <c:pt idx="274">
                  <c:v>376.83952575271792</c:v>
                </c:pt>
                <c:pt idx="275">
                  <c:v>378.98679420625666</c:v>
                </c:pt>
                <c:pt idx="276">
                  <c:v>381.12794261595263</c:v>
                </c:pt>
                <c:pt idx="277">
                  <c:v>383.2631414042537</c:v>
                </c:pt>
                <c:pt idx="278">
                  <c:v>385.39255675312518</c:v>
                </c:pt>
                <c:pt idx="279">
                  <c:v>387.5163505810421</c:v>
                </c:pt>
                <c:pt idx="280">
                  <c:v>389.63468050640768</c:v>
                </c:pt>
                <c:pt idx="281">
                  <c:v>391.74769979678939</c:v>
                </c:pt>
                <c:pt idx="282">
                  <c:v>393.85555730336176</c:v>
                </c:pt>
                <c:pt idx="283">
                  <c:v>395.95839737996414</c:v>
                </c:pt>
                <c:pt idx="284">
                  <c:v>398.056359786229</c:v>
                </c:pt>
                <c:pt idx="285">
                  <c:v>400.1495795743208</c:v>
                </c:pt>
                <c:pt idx="286">
                  <c:v>402.23818695895613</c:v>
                </c:pt>
                <c:pt idx="287">
                  <c:v>404.32230717056086</c:v>
                </c:pt>
                <c:pt idx="288">
                  <c:v>406.40206029167427</c:v>
                </c:pt>
                <c:pt idx="289">
                  <c:v>408.47756107703992</c:v>
                </c:pt>
                <c:pt idx="290">
                  <c:v>410.54891875824018</c:v>
                </c:pt>
                <c:pt idx="291">
                  <c:v>412.61623683424227</c:v>
                </c:pt>
                <c:pt idx="292">
                  <c:v>414.67961284982931</c:v>
                </c:pt>
                <c:pt idx="293">
                  <c:v>416.73913816458372</c:v>
                </c:pt>
                <c:pt idx="294">
                  <c:v>418.79489771585821</c:v>
                </c:pt>
                <c:pt idx="295">
                  <c:v>420.84696977998033</c:v>
                </c:pt>
                <c:pt idx="296">
                  <c:v>422.89542573674697</c:v>
                </c:pt>
                <c:pt idx="297">
                  <c:v>424.94032984301776</c:v>
                </c:pt>
                <c:pt idx="298">
                  <c:v>426.98173902183544</c:v>
                </c:pt>
                <c:pt idx="299">
                  <c:v>429.0197026739126</c:v>
                </c:pt>
                <c:pt idx="300">
                  <c:v>431.05426251844233</c:v>
                </c:pt>
                <c:pt idx="301">
                  <c:v>433.08545246995413</c:v>
                </c:pt>
                <c:pt idx="302">
                  <c:v>435.11329855730128</c:v>
                </c:pt>
                <c:pt idx="303">
                  <c:v>437.13781888982538</c:v>
                </c:pt>
                <c:pt idx="304">
                  <c:v>439.15902367434205</c:v>
                </c:pt>
                <c:pt idx="305">
                  <c:v>441.17691528490633</c:v>
                </c:pt>
                <c:pt idx="306">
                  <c:v>443.19148838547403</c:v>
                </c:pt>
                <c:pt idx="307">
                  <c:v>445.20273010371625</c:v>
                </c:pt>
                <c:pt idx="308">
                  <c:v>447.21062025251865</c:v>
                </c:pt>
                <c:pt idx="309">
                  <c:v>449.21513159422949</c:v>
                </c:pt>
                <c:pt idx="310">
                  <c:v>451.2162301416098</c:v>
                </c:pt>
                <c:pt idx="311">
                  <c:v>453.21387548873304</c:v>
                </c:pt>
                <c:pt idx="312">
                  <c:v>455.2080211647841</c:v>
                </c:pt>
                <c:pt idx="313">
                  <c:v>457.19861500378744</c:v>
                </c:pt>
                <c:pt idx="314">
                  <c:v>459.1855995236819</c:v>
                </c:pt>
                <c:pt idx="315">
                  <c:v>461.16891230878042</c:v>
                </c:pt>
                <c:pt idx="316">
                  <c:v>463.14848639042242</c:v>
                </c:pt>
                <c:pt idx="317">
                  <c:v>465.12425062146679</c:v>
                </c:pt>
                <c:pt idx="318">
                  <c:v>467.09613004112248</c:v>
                </c:pt>
                <c:pt idx="319">
                  <c:v>469.06404622742235</c:v>
                </c:pt>
                <c:pt idx="320">
                  <c:v>471.02791763538141</c:v>
                </c:pt>
                <c:pt idx="321">
                  <c:v>472.98765991952394</c:v>
                </c:pt>
                <c:pt idx="322">
                  <c:v>474.94318624000749</c:v>
                </c:pt>
                <c:pt idx="323">
                  <c:v>476.89440755201758</c:v>
                </c:pt>
                <c:pt idx="324">
                  <c:v>478.84123287845932</c:v>
                </c:pt>
                <c:pt idx="325">
                  <c:v>480.78356956624242</c:v>
                </c:pt>
                <c:pt idx="326">
                  <c:v>482.7213235266567</c:v>
                </c:pt>
                <c:pt idx="327">
                  <c:v>484.65439946047286</c:v>
                </c:pt>
                <c:pt idx="328">
                  <c:v>486.5827010684971</c:v>
                </c:pt>
                <c:pt idx="329">
                  <c:v>488.50613124835866</c:v>
                </c:pt>
                <c:pt idx="330">
                  <c:v>490.42459227833376</c:v>
                </c:pt>
                <c:pt idx="331">
                  <c:v>492.33798598900933</c:v>
                </c:pt>
                <c:pt idx="332">
                  <c:v>494.24621392357278</c:v>
                </c:pt>
                <c:pt idx="333">
                  <c:v>496.14917748748769</c:v>
                </c:pt>
                <c:pt idx="334">
                  <c:v>498.0467780882783</c:v>
                </c:pt>
                <c:pt idx="335">
                  <c:v>499.9389172661061</c:v>
                </c:pt>
                <c:pt idx="336">
                  <c:v>501.82549681577774</c:v>
                </c:pt>
                <c:pt idx="337">
                  <c:v>503.70641890078076</c:v>
                </c:pt>
                <c:pt idx="338">
                  <c:v>505.58158615989953</c:v>
                </c:pt>
                <c:pt idx="339">
                  <c:v>507.45090180692137</c:v>
                </c:pt>
                <c:pt idx="340">
                  <c:v>509.31426972390307</c:v>
                </c:pt>
                <c:pt idx="341">
                  <c:v>511.17159454842954</c:v>
                </c:pt>
                <c:pt idx="342">
                  <c:v>513.02278175526078</c:v>
                </c:pt>
                <c:pt idx="343">
                  <c:v>514.86773773272989</c:v>
                </c:pt>
                <c:pt idx="344">
                  <c:v>516.70636985422516</c:v>
                </c:pt>
                <c:pt idx="345">
                  <c:v>518.53858654505939</c:v>
                </c:pt>
                <c:pt idx="346">
                  <c:v>520.36429734500666</c:v>
                </c:pt>
                <c:pt idx="347">
                  <c:v>522.18341296675965</c:v>
                </c:pt>
                <c:pt idx="348">
                  <c:v>523.99584535054294</c:v>
                </c:pt>
                <c:pt idx="349">
                  <c:v>525.801507715095</c:v>
                </c:pt>
                <c:pt idx="350">
                  <c:v>527.60031460521736</c:v>
                </c:pt>
                <c:pt idx="351">
                  <c:v>529.39218193606996</c:v>
                </c:pt>
                <c:pt idx="352">
                  <c:v>531.17702703438033</c:v>
                </c:pt>
                <c:pt idx="353">
                  <c:v>532.95476867671971</c:v>
                </c:pt>
                <c:pt idx="354">
                  <c:v>534.72532712498776</c:v>
                </c:pt>
                <c:pt idx="355">
                  <c:v>536.48862415923736</c:v>
                </c:pt>
                <c:pt idx="356">
                  <c:v>538.24458310796092</c:v>
                </c:pt>
                <c:pt idx="357">
                  <c:v>539.9931288759517</c:v>
                </c:pt>
                <c:pt idx="358">
                  <c:v>541.73418796984538</c:v>
                </c:pt>
                <c:pt idx="359">
                  <c:v>543.4676885214401</c:v>
                </c:pt>
                <c:pt idx="360">
                  <c:v>545.1935603088881</c:v>
                </c:pt>
                <c:pt idx="361">
                  <c:v>546.91173477584448</c:v>
                </c:pt>
                <c:pt idx="362">
                  <c:v>548.62214504865563</c:v>
                </c:pt>
                <c:pt idx="363">
                  <c:v>550.32472595166348</c:v>
                </c:pt>
                <c:pt idx="364">
                  <c:v>552.01941402069906</c:v>
                </c:pt>
                <c:pt idx="365">
                  <c:v>553.70614751483379</c:v>
                </c:pt>
                <c:pt idx="366">
                  <c:v>555.38486642645466</c:v>
                </c:pt>
                <c:pt idx="367">
                  <c:v>557.0555124897262</c:v>
                </c:pt>
                <c:pt idx="368">
                  <c:v>558.71802918749847</c:v>
                </c:pt>
                <c:pt idx="369">
                  <c:v>560.37236175671899</c:v>
                </c:pt>
                <c:pt idx="370">
                  <c:v>562.01845719240316</c:v>
                </c:pt>
                <c:pt idx="371">
                  <c:v>563.6562642502173</c:v>
                </c:pt>
                <c:pt idx="372">
                  <c:v>565.28573344772383</c:v>
                </c:pt>
                <c:pt idx="373">
                  <c:v>566.90681706433952</c:v>
                </c:pt>
                <c:pt idx="374">
                  <c:v>568.51946914005362</c:v>
                </c:pt>
                <c:pt idx="375">
                  <c:v>570.12364547295226</c:v>
                </c:pt>
                <c:pt idx="376">
                  <c:v>571.71930361559475</c:v>
                </c:pt>
                <c:pt idx="377">
                  <c:v>573.30640287028461</c:v>
                </c:pt>
                <c:pt idx="378">
                  <c:v>574.8849042832785</c:v>
                </c:pt>
                <c:pt idx="379">
                  <c:v>576.45477063797398</c:v>
                </c:pt>
                <c:pt idx="380">
                  <c:v>578.01596644711663</c:v>
                </c:pt>
                <c:pt idx="381">
                  <c:v>579.56845794406649</c:v>
                </c:pt>
                <c:pt idx="382">
                  <c:v>581.11221307316146</c:v>
                </c:pt>
                <c:pt idx="383">
                  <c:v>582.64720147921537</c:v>
                </c:pt>
                <c:pt idx="384">
                  <c:v>584.17339449618862</c:v>
                </c:pt>
                <c:pt idx="385">
                  <c:v>585.69076513506548</c:v>
                </c:pt>
                <c:pt idx="386">
                  <c:v>587.1992880709754</c:v>
                </c:pt>
                <c:pt idx="387">
                  <c:v>588.69893962959054</c:v>
                </c:pt>
                <c:pt idx="388">
                  <c:v>590.18969777283542</c:v>
                </c:pt>
                <c:pt idx="389">
                  <c:v>591.6715420839397</c:v>
                </c:pt>
                <c:pt idx="390">
                  <c:v>593.14445375186824</c:v>
                </c:pt>
                <c:pt idx="391">
                  <c:v>594.60841555515856</c:v>
                </c:pt>
                <c:pt idx="392">
                  <c:v>596.06341184519761</c:v>
                </c:pt>
                <c:pt idx="393">
                  <c:v>597.50942852896776</c:v>
                </c:pt>
                <c:pt idx="394">
                  <c:v>598.946453051292</c:v>
                </c:pt>
                <c:pt idx="395">
                  <c:v>600.37447437660683</c:v>
                </c:pt>
                <c:pt idx="396">
                  <c:v>601.79348297029151</c:v>
                </c:pt>
                <c:pt idx="397">
                  <c:v>603.20347077958195</c:v>
                </c:pt>
                <c:pt idx="398">
                  <c:v>604.60443121409514</c:v>
                </c:pt>
                <c:pt idx="399">
                  <c:v>605.99635912599172</c:v>
                </c:pt>
                <c:pt idx="400">
                  <c:v>607.37925078980209</c:v>
                </c:pt>
                <c:pt idx="401">
                  <c:v>608.75310388194089</c:v>
                </c:pt>
                <c:pt idx="402">
                  <c:v>610.11791745993571</c:v>
                </c:pt>
                <c:pt idx="403">
                  <c:v>611.47369194139242</c:v>
                </c:pt>
                <c:pt idx="404">
                  <c:v>612.8204290827216</c:v>
                </c:pt>
                <c:pt idx="405">
                  <c:v>614.15813195764883</c:v>
                </c:pt>
                <c:pt idx="406">
                  <c:v>615.48680493553036</c:v>
                </c:pt>
                <c:pt idx="407">
                  <c:v>616.80645365949613</c:v>
                </c:pt>
                <c:pt idx="408">
                  <c:v>618.11708502444117</c:v>
                </c:pt>
                <c:pt idx="409">
                  <c:v>619.41870715488574</c:v>
                </c:pt>
                <c:pt idx="410">
                  <c:v>620.71132938272353</c:v>
                </c:pt>
                <c:pt idx="411">
                  <c:v>621.99496222487744</c:v>
                </c:pt>
                <c:pt idx="412">
                  <c:v>623.26961736088185</c:v>
                </c:pt>
                <c:pt idx="413">
                  <c:v>624.53530761040861</c:v>
                </c:pt>
                <c:pt idx="414">
                  <c:v>625.79204691075427</c:v>
                </c:pt>
                <c:pt idx="415">
                  <c:v>627.03985029430658</c:v>
                </c:pt>
                <c:pt idx="416">
                  <c:v>628.27873386600459</c:v>
                </c:pt>
                <c:pt idx="417">
                  <c:v>629.50871478080944</c:v>
                </c:pt>
                <c:pt idx="418">
                  <c:v>630.72981122120052</c:v>
                </c:pt>
                <c:pt idx="419">
                  <c:v>631.9420423747116</c:v>
                </c:pt>
                <c:pt idx="420">
                  <c:v>633.14542841152104</c:v>
                </c:pt>
                <c:pt idx="421">
                  <c:v>634.33999046210943</c:v>
                </c:pt>
                <c:pt idx="422">
                  <c:v>635.52575059499748</c:v>
                </c:pt>
                <c:pt idx="423">
                  <c:v>636.70273179457695</c:v>
                </c:pt>
                <c:pt idx="424">
                  <c:v>637.87095793904643</c:v>
                </c:pt>
                <c:pt idx="425">
                  <c:v>639.03045377846342</c:v>
                </c:pt>
                <c:pt idx="426">
                  <c:v>640.18124491292281</c:v>
                </c:pt>
                <c:pt idx="427">
                  <c:v>641.32335777087383</c:v>
                </c:pt>
                <c:pt idx="428">
                  <c:v>642.45681958758337</c:v>
                </c:pt>
                <c:pt idx="429">
                  <c:v>643.58165838375692</c:v>
                </c:pt>
                <c:pt idx="430">
                  <c:v>644.69790294432494</c:v>
                </c:pt>
                <c:pt idx="431">
                  <c:v>645.80558279740364</c:v>
                </c:pt>
                <c:pt idx="432">
                  <c:v>646.9047281934379</c:v>
                </c:pt>
                <c:pt idx="433">
                  <c:v>647.99537008453467</c:v>
                </c:pt>
                <c:pt idx="434">
                  <c:v>649.0775401039931</c:v>
                </c:pt>
                <c:pt idx="435">
                  <c:v>650.15127054603886</c:v>
                </c:pt>
                <c:pt idx="436">
                  <c:v>651.21659434576884</c:v>
                </c:pt>
                <c:pt idx="437">
                  <c:v>652.27354505931214</c:v>
                </c:pt>
                <c:pt idx="438">
                  <c:v>653.32215684421249</c:v>
                </c:pt>
                <c:pt idx="439">
                  <c:v>654.36246444003871</c:v>
                </c:pt>
                <c:pt idx="440">
                  <c:v>655.3945031492259</c:v>
                </c:pt>
                <c:pt idx="441">
                  <c:v>656.41830881815406</c:v>
                </c:pt>
                <c:pt idx="442">
                  <c:v>657.43391781846628</c:v>
                </c:pt>
                <c:pt idx="443">
                  <c:v>658.4413670286317</c:v>
                </c:pt>
                <c:pt idx="444">
                  <c:v>659.44069381575616</c:v>
                </c:pt>
                <c:pt idx="445">
                  <c:v>660.43193601764335</c:v>
                </c:pt>
                <c:pt idx="446">
                  <c:v>661.41513192510979</c:v>
                </c:pt>
                <c:pt idx="447">
                  <c:v>662.39032026455595</c:v>
                </c:pt>
                <c:pt idx="448">
                  <c:v>663.35754018079535</c:v>
                </c:pt>
                <c:pt idx="449">
                  <c:v>664.31683122014476</c:v>
                </c:pt>
                <c:pt idx="450">
                  <c:v>665.26823331377523</c:v>
                </c:pt>
                <c:pt idx="451">
                  <c:v>666.21178676132752</c:v>
                </c:pt>
                <c:pt idx="452">
                  <c:v>667.14753221479134</c:v>
                </c:pt>
                <c:pt idx="453">
                  <c:v>668.07551066265034</c:v>
                </c:pt>
                <c:pt idx="454">
                  <c:v>668.99576341429292</c:v>
                </c:pt>
                <c:pt idx="455">
                  <c:v>669.90833208468996</c:v>
                </c:pt>
                <c:pt idx="456">
                  <c:v>670.81325857933894</c:v>
                </c:pt>
                <c:pt idx="457">
                  <c:v>671.71058507947475</c:v>
                </c:pt>
                <c:pt idx="458">
                  <c:v>672.60035402754784</c:v>
                </c:pt>
                <c:pt idx="459">
                  <c:v>673.48260811296768</c:v>
                </c:pt>
                <c:pt idx="460">
                  <c:v>674.35739025811256</c:v>
                </c:pt>
                <c:pt idx="461">
                  <c:v>675.22474360460387</c:v>
                </c:pt>
                <c:pt idx="462">
                  <c:v>676.08471149984496</c:v>
                </c:pt>
                <c:pt idx="463">
                  <c:v>676.9373374838226</c:v>
                </c:pt>
                <c:pt idx="464">
                  <c:v>677.78266527617052</c:v>
                </c:pt>
                <c:pt idx="465">
                  <c:v>678.62073876349314</c:v>
                </c:pt>
                <c:pt idx="466">
                  <c:v>679.45160198694862</c:v>
                </c:pt>
                <c:pt idx="467">
                  <c:v>680.27529913008902</c:v>
                </c:pt>
                <c:pt idx="468">
                  <c:v>681.09187450695629</c:v>
                </c:pt>
                <c:pt idx="469">
                  <c:v>681.90137255043192</c:v>
                </c:pt>
                <c:pt idx="470">
                  <c:v>682.70383780083841</c:v>
                </c:pt>
                <c:pt idx="471">
                  <c:v>683.49931489479047</c:v>
                </c:pt>
                <c:pt idx="472">
                  <c:v>684.28784855429399</c:v>
                </c:pt>
                <c:pt idx="473">
                  <c:v>685.06948357609019</c:v>
                </c:pt>
                <c:pt idx="474">
                  <c:v>685.84426482124286</c:v>
                </c:pt>
                <c:pt idx="475">
                  <c:v>686.61223720496594</c:v>
                </c:pt>
                <c:pt idx="476">
                  <c:v>687.37344568668982</c:v>
                </c:pt>
                <c:pt idx="477">
                  <c:v>688.12793526036228</c:v>
                </c:pt>
                <c:pt idx="478">
                  <c:v>688.875750944983</c:v>
                </c:pt>
                <c:pt idx="479">
                  <c:v>689.61693777536823</c:v>
                </c:pt>
                <c:pt idx="480">
                  <c:v>690.35154079314248</c:v>
                </c:pt>
                <c:pt idx="481">
                  <c:v>691.07960503795562</c:v>
                </c:pt>
                <c:pt idx="482">
                  <c:v>691.80117553892103</c:v>
                </c:pt>
                <c:pt idx="483">
                  <c:v>692.51629730627349</c:v>
                </c:pt>
                <c:pt idx="484">
                  <c:v>693.22501532324259</c:v>
                </c:pt>
                <c:pt idx="485">
                  <c:v>693.9273745381397</c:v>
                </c:pt>
                <c:pt idx="486">
                  <c:v>694.62341985665466</c:v>
                </c:pt>
                <c:pt idx="487">
                  <c:v>695.31319613436006</c:v>
                </c:pt>
                <c:pt idx="488">
                  <c:v>695.99674816941945</c:v>
                </c:pt>
                <c:pt idx="489">
                  <c:v>696.67412069549664</c:v>
                </c:pt>
                <c:pt idx="490">
                  <c:v>697.34535837486351</c:v>
                </c:pt>
                <c:pt idx="491">
                  <c:v>698.0105057917018</c:v>
                </c:pt>
                <c:pt idx="492">
                  <c:v>698.66960744559799</c:v>
                </c:pt>
                <c:pt idx="493">
                  <c:v>699.32270774522647</c:v>
                </c:pt>
                <c:pt idx="494">
                  <c:v>699.96985100221832</c:v>
                </c:pt>
                <c:pt idx="495">
                  <c:v>700.61108142521323</c:v>
                </c:pt>
                <c:pt idx="496">
                  <c:v>701.24644311409088</c:v>
                </c:pt>
                <c:pt idx="497">
                  <c:v>701.8759800543786</c:v>
                </c:pt>
                <c:pt idx="498">
                  <c:v>702.49973611183293</c:v>
                </c:pt>
                <c:pt idx="499">
                  <c:v>703.11775502719127</c:v>
                </c:pt>
                <c:pt idx="500">
                  <c:v>703.73008041109108</c:v>
                </c:pt>
                <c:pt idx="501">
                  <c:v>704.33675573915366</c:v>
                </c:pt>
                <c:pt idx="502">
                  <c:v>704.93782434722846</c:v>
                </c:pt>
                <c:pt idx="503">
                  <c:v>705.53332942679663</c:v>
                </c:pt>
                <c:pt idx="504">
                  <c:v>706.12331402052928</c:v>
                </c:pt>
                <c:pt idx="505">
                  <c:v>706.70782101799864</c:v>
                </c:pt>
                <c:pt idx="506">
                  <c:v>707.28689315153781</c:v>
                </c:pt>
                <c:pt idx="507">
                  <c:v>707.86057299224808</c:v>
                </c:pt>
                <c:pt idx="508">
                  <c:v>708.42890294614904</c:v>
                </c:pt>
                <c:pt idx="509">
                  <c:v>708.99192525046954</c:v>
                </c:pt>
                <c:pt idx="510">
                  <c:v>709.5496819700769</c:v>
                </c:pt>
                <c:pt idx="511">
                  <c:v>710.10221499404088</c:v>
                </c:pt>
                <c:pt idx="512">
                  <c:v>710.64956603232986</c:v>
                </c:pt>
                <c:pt idx="513">
                  <c:v>711.19177661263689</c:v>
                </c:pt>
                <c:pt idx="514">
                  <c:v>711.72888807733182</c:v>
                </c:pt>
                <c:pt idx="515">
                  <c:v>711.72888807733182</c:v>
                </c:pt>
                <c:pt idx="516">
                  <c:v>711.72888807733182</c:v>
                </c:pt>
                <c:pt idx="517">
                  <c:v>711.72888807733182</c:v>
                </c:pt>
                <c:pt idx="518">
                  <c:v>711.72888807733182</c:v>
                </c:pt>
                <c:pt idx="519">
                  <c:v>711.72888807733182</c:v>
                </c:pt>
                <c:pt idx="520">
                  <c:v>711.72888807733182</c:v>
                </c:pt>
                <c:pt idx="521">
                  <c:v>711.72888807733182</c:v>
                </c:pt>
                <c:pt idx="522">
                  <c:v>711.72888807733182</c:v>
                </c:pt>
                <c:pt idx="523">
                  <c:v>711.72888807733182</c:v>
                </c:pt>
                <c:pt idx="524">
                  <c:v>711.72888807733182</c:v>
                </c:pt>
                <c:pt idx="525">
                  <c:v>711.72888807733182</c:v>
                </c:pt>
                <c:pt idx="526">
                  <c:v>711.72888807733182</c:v>
                </c:pt>
                <c:pt idx="527">
                  <c:v>711.72888807733182</c:v>
                </c:pt>
                <c:pt idx="528">
                  <c:v>711.72888807733182</c:v>
                </c:pt>
                <c:pt idx="529">
                  <c:v>711.72888807733182</c:v>
                </c:pt>
                <c:pt idx="530">
                  <c:v>711.72888807733182</c:v>
                </c:pt>
                <c:pt idx="531">
                  <c:v>711.72888807733182</c:v>
                </c:pt>
                <c:pt idx="532">
                  <c:v>711.72888807733182</c:v>
                </c:pt>
                <c:pt idx="533">
                  <c:v>711.72888807733182</c:v>
                </c:pt>
                <c:pt idx="534">
                  <c:v>711.72888807733182</c:v>
                </c:pt>
                <c:pt idx="535">
                  <c:v>711.72888807733182</c:v>
                </c:pt>
                <c:pt idx="536">
                  <c:v>711.72888807733182</c:v>
                </c:pt>
                <c:pt idx="537">
                  <c:v>711.72888807733182</c:v>
                </c:pt>
                <c:pt idx="538">
                  <c:v>711.72888807733182</c:v>
                </c:pt>
                <c:pt idx="539">
                  <c:v>711.72888807733182</c:v>
                </c:pt>
                <c:pt idx="540">
                  <c:v>711.72888807733182</c:v>
                </c:pt>
                <c:pt idx="541">
                  <c:v>711.72888807733182</c:v>
                </c:pt>
                <c:pt idx="542">
                  <c:v>711.72888807733182</c:v>
                </c:pt>
                <c:pt idx="543">
                  <c:v>711.72888807733182</c:v>
                </c:pt>
                <c:pt idx="544">
                  <c:v>711.72888807733182</c:v>
                </c:pt>
                <c:pt idx="545">
                  <c:v>711.72888807733182</c:v>
                </c:pt>
                <c:pt idx="546">
                  <c:v>711.72888807733182</c:v>
                </c:pt>
                <c:pt idx="547">
                  <c:v>711.72888807733182</c:v>
                </c:pt>
                <c:pt idx="548">
                  <c:v>711.72888807733182</c:v>
                </c:pt>
                <c:pt idx="549">
                  <c:v>711.72888807733182</c:v>
                </c:pt>
                <c:pt idx="550">
                  <c:v>711.72888807733182</c:v>
                </c:pt>
                <c:pt idx="551">
                  <c:v>711.72888807733182</c:v>
                </c:pt>
                <c:pt idx="552">
                  <c:v>711.72888807733182</c:v>
                </c:pt>
                <c:pt idx="553">
                  <c:v>711.72888807733182</c:v>
                </c:pt>
                <c:pt idx="554">
                  <c:v>711.72888807733182</c:v>
                </c:pt>
                <c:pt idx="555">
                  <c:v>711.72888807733182</c:v>
                </c:pt>
                <c:pt idx="556">
                  <c:v>711.72888807733182</c:v>
                </c:pt>
                <c:pt idx="557">
                  <c:v>711.72888807733182</c:v>
                </c:pt>
                <c:pt idx="558">
                  <c:v>711.72888807733182</c:v>
                </c:pt>
                <c:pt idx="559">
                  <c:v>711.72888807733182</c:v>
                </c:pt>
                <c:pt idx="560">
                  <c:v>711.72888807733182</c:v>
                </c:pt>
                <c:pt idx="561">
                  <c:v>711.72888807733182</c:v>
                </c:pt>
                <c:pt idx="562">
                  <c:v>711.72888807733182</c:v>
                </c:pt>
                <c:pt idx="563">
                  <c:v>711.72888807733182</c:v>
                </c:pt>
                <c:pt idx="564">
                  <c:v>711.72888807733182</c:v>
                </c:pt>
                <c:pt idx="565">
                  <c:v>711.72888807733182</c:v>
                </c:pt>
                <c:pt idx="566">
                  <c:v>711.72888807733182</c:v>
                </c:pt>
                <c:pt idx="567">
                  <c:v>711.72888807733182</c:v>
                </c:pt>
                <c:pt idx="568">
                  <c:v>711.72888807733182</c:v>
                </c:pt>
                <c:pt idx="569">
                  <c:v>711.72888807733182</c:v>
                </c:pt>
                <c:pt idx="570">
                  <c:v>711.72888807733182</c:v>
                </c:pt>
                <c:pt idx="571">
                  <c:v>711.72888807733182</c:v>
                </c:pt>
                <c:pt idx="572">
                  <c:v>711.72888807733182</c:v>
                </c:pt>
                <c:pt idx="573">
                  <c:v>711.72888807733182</c:v>
                </c:pt>
                <c:pt idx="574">
                  <c:v>711.72888807733182</c:v>
                </c:pt>
                <c:pt idx="575">
                  <c:v>711.72888807733182</c:v>
                </c:pt>
                <c:pt idx="576">
                  <c:v>711.72888807733182</c:v>
                </c:pt>
                <c:pt idx="577">
                  <c:v>711.72888807733182</c:v>
                </c:pt>
                <c:pt idx="578">
                  <c:v>711.72888807733182</c:v>
                </c:pt>
                <c:pt idx="579">
                  <c:v>711.72888807733182</c:v>
                </c:pt>
                <c:pt idx="580">
                  <c:v>711.72888807733182</c:v>
                </c:pt>
                <c:pt idx="581">
                  <c:v>711.72888807733182</c:v>
                </c:pt>
                <c:pt idx="582">
                  <c:v>711.72888807733182</c:v>
                </c:pt>
                <c:pt idx="583">
                  <c:v>711.72888807733182</c:v>
                </c:pt>
                <c:pt idx="584">
                  <c:v>711.72888807733182</c:v>
                </c:pt>
                <c:pt idx="585">
                  <c:v>711.72888807733182</c:v>
                </c:pt>
                <c:pt idx="586">
                  <c:v>711.72888807733182</c:v>
                </c:pt>
                <c:pt idx="587">
                  <c:v>711.72888807733182</c:v>
                </c:pt>
                <c:pt idx="588">
                  <c:v>711.72888807733182</c:v>
                </c:pt>
                <c:pt idx="589">
                  <c:v>711.72888807733182</c:v>
                </c:pt>
                <c:pt idx="590">
                  <c:v>711.72888807733182</c:v>
                </c:pt>
                <c:pt idx="591">
                  <c:v>711.72888807733182</c:v>
                </c:pt>
                <c:pt idx="592">
                  <c:v>711.72888807733182</c:v>
                </c:pt>
                <c:pt idx="593">
                  <c:v>711.72888807733182</c:v>
                </c:pt>
                <c:pt idx="594">
                  <c:v>711.72888807733182</c:v>
                </c:pt>
                <c:pt idx="595">
                  <c:v>711.72888807733182</c:v>
                </c:pt>
                <c:pt idx="596">
                  <c:v>711.72888807733182</c:v>
                </c:pt>
                <c:pt idx="597">
                  <c:v>711.72888807733182</c:v>
                </c:pt>
                <c:pt idx="598">
                  <c:v>711.72888807733182</c:v>
                </c:pt>
                <c:pt idx="599">
                  <c:v>711.72888807733182</c:v>
                </c:pt>
                <c:pt idx="600">
                  <c:v>711.72888807733182</c:v>
                </c:pt>
                <c:pt idx="601">
                  <c:v>711.72888807733182</c:v>
                </c:pt>
                <c:pt idx="602">
                  <c:v>711.72888807733182</c:v>
                </c:pt>
                <c:pt idx="603">
                  <c:v>711.72888807733182</c:v>
                </c:pt>
                <c:pt idx="604">
                  <c:v>711.72888807733182</c:v>
                </c:pt>
                <c:pt idx="605">
                  <c:v>711.72888807733182</c:v>
                </c:pt>
                <c:pt idx="606">
                  <c:v>711.72888807733182</c:v>
                </c:pt>
                <c:pt idx="607">
                  <c:v>711.72888807733182</c:v>
                </c:pt>
                <c:pt idx="608">
                  <c:v>711.72888807733182</c:v>
                </c:pt>
                <c:pt idx="609">
                  <c:v>711.72888807733182</c:v>
                </c:pt>
                <c:pt idx="610">
                  <c:v>711.72888807733182</c:v>
                </c:pt>
                <c:pt idx="611">
                  <c:v>711.72888807733182</c:v>
                </c:pt>
                <c:pt idx="612">
                  <c:v>711.72888807733182</c:v>
                </c:pt>
                <c:pt idx="613">
                  <c:v>711.72888807733182</c:v>
                </c:pt>
                <c:pt idx="614">
                  <c:v>711.72888807733182</c:v>
                </c:pt>
                <c:pt idx="615">
                  <c:v>711.72888807733182</c:v>
                </c:pt>
                <c:pt idx="616">
                  <c:v>711.72888807733182</c:v>
                </c:pt>
                <c:pt idx="617">
                  <c:v>711.72888807733182</c:v>
                </c:pt>
                <c:pt idx="618">
                  <c:v>711.72888807733182</c:v>
                </c:pt>
                <c:pt idx="619">
                  <c:v>711.72888807733182</c:v>
                </c:pt>
                <c:pt idx="620">
                  <c:v>711.72888807733182</c:v>
                </c:pt>
                <c:pt idx="621">
                  <c:v>711.72888807733182</c:v>
                </c:pt>
                <c:pt idx="622">
                  <c:v>711.72888807733182</c:v>
                </c:pt>
                <c:pt idx="623">
                  <c:v>711.72888807733182</c:v>
                </c:pt>
                <c:pt idx="624">
                  <c:v>711.72888807733182</c:v>
                </c:pt>
                <c:pt idx="625">
                  <c:v>711.72888807733182</c:v>
                </c:pt>
                <c:pt idx="626">
                  <c:v>711.72888807733182</c:v>
                </c:pt>
                <c:pt idx="627">
                  <c:v>711.72888807733182</c:v>
                </c:pt>
                <c:pt idx="628">
                  <c:v>711.72888807733182</c:v>
                </c:pt>
                <c:pt idx="629">
                  <c:v>711.72888807733182</c:v>
                </c:pt>
                <c:pt idx="630">
                  <c:v>711.72888807733182</c:v>
                </c:pt>
                <c:pt idx="631">
                  <c:v>711.72888807733182</c:v>
                </c:pt>
                <c:pt idx="632">
                  <c:v>711.72888807733182</c:v>
                </c:pt>
                <c:pt idx="633">
                  <c:v>711.72888807733182</c:v>
                </c:pt>
                <c:pt idx="634">
                  <c:v>711.72888807733182</c:v>
                </c:pt>
                <c:pt idx="635">
                  <c:v>711.72888807733182</c:v>
                </c:pt>
                <c:pt idx="636">
                  <c:v>711.72888807733182</c:v>
                </c:pt>
                <c:pt idx="637">
                  <c:v>711.72888807733182</c:v>
                </c:pt>
                <c:pt idx="638">
                  <c:v>711.72888807733182</c:v>
                </c:pt>
                <c:pt idx="639">
                  <c:v>711.72888807733182</c:v>
                </c:pt>
                <c:pt idx="640">
                  <c:v>711.72888807733182</c:v>
                </c:pt>
                <c:pt idx="641">
                  <c:v>711.72888807733182</c:v>
                </c:pt>
                <c:pt idx="642">
                  <c:v>711.72888807733182</c:v>
                </c:pt>
                <c:pt idx="643">
                  <c:v>711.72888807733182</c:v>
                </c:pt>
                <c:pt idx="644">
                  <c:v>711.72888807733182</c:v>
                </c:pt>
                <c:pt idx="645">
                  <c:v>711.72888807733182</c:v>
                </c:pt>
                <c:pt idx="646">
                  <c:v>711.72888807733182</c:v>
                </c:pt>
                <c:pt idx="647">
                  <c:v>711.72888807733182</c:v>
                </c:pt>
                <c:pt idx="648">
                  <c:v>711.72888807733182</c:v>
                </c:pt>
                <c:pt idx="649">
                  <c:v>711.72888807733182</c:v>
                </c:pt>
                <c:pt idx="650">
                  <c:v>711.72888807733182</c:v>
                </c:pt>
                <c:pt idx="651">
                  <c:v>711.72888807733182</c:v>
                </c:pt>
                <c:pt idx="652">
                  <c:v>711.72888807733182</c:v>
                </c:pt>
                <c:pt idx="653">
                  <c:v>711.72888807733182</c:v>
                </c:pt>
                <c:pt idx="654">
                  <c:v>711.72888807733182</c:v>
                </c:pt>
                <c:pt idx="655">
                  <c:v>711.72888807733182</c:v>
                </c:pt>
                <c:pt idx="656">
                  <c:v>711.72888807733182</c:v>
                </c:pt>
                <c:pt idx="657">
                  <c:v>711.72888807733182</c:v>
                </c:pt>
                <c:pt idx="658">
                  <c:v>711.72888807733182</c:v>
                </c:pt>
                <c:pt idx="659">
                  <c:v>711.72888807733182</c:v>
                </c:pt>
                <c:pt idx="660">
                  <c:v>711.72888807733182</c:v>
                </c:pt>
                <c:pt idx="661">
                  <c:v>711.72888807733182</c:v>
                </c:pt>
                <c:pt idx="662">
                  <c:v>711.72888807733182</c:v>
                </c:pt>
                <c:pt idx="663">
                  <c:v>711.72888807733182</c:v>
                </c:pt>
                <c:pt idx="664">
                  <c:v>711.72888807733182</c:v>
                </c:pt>
                <c:pt idx="665">
                  <c:v>711.72888807733182</c:v>
                </c:pt>
                <c:pt idx="666">
                  <c:v>711.72888807733182</c:v>
                </c:pt>
                <c:pt idx="667">
                  <c:v>711.72888807733182</c:v>
                </c:pt>
                <c:pt idx="668">
                  <c:v>711.72888807733182</c:v>
                </c:pt>
                <c:pt idx="669">
                  <c:v>711.72888807733182</c:v>
                </c:pt>
                <c:pt idx="670">
                  <c:v>711.72888807733182</c:v>
                </c:pt>
                <c:pt idx="671">
                  <c:v>711.72888807733182</c:v>
                </c:pt>
                <c:pt idx="672">
                  <c:v>711.72888807733182</c:v>
                </c:pt>
                <c:pt idx="673">
                  <c:v>711.72888807733182</c:v>
                </c:pt>
                <c:pt idx="674">
                  <c:v>711.72888807733182</c:v>
                </c:pt>
                <c:pt idx="675">
                  <c:v>711.72888807733182</c:v>
                </c:pt>
                <c:pt idx="676">
                  <c:v>711.72888807733182</c:v>
                </c:pt>
                <c:pt idx="677">
                  <c:v>711.72888807733182</c:v>
                </c:pt>
                <c:pt idx="678">
                  <c:v>711.72888807733182</c:v>
                </c:pt>
                <c:pt idx="679">
                  <c:v>711.72888807733182</c:v>
                </c:pt>
                <c:pt idx="680">
                  <c:v>711.72888807733182</c:v>
                </c:pt>
                <c:pt idx="681">
                  <c:v>711.72888807733182</c:v>
                </c:pt>
                <c:pt idx="682">
                  <c:v>711.72888807733182</c:v>
                </c:pt>
                <c:pt idx="683">
                  <c:v>711.72888807733182</c:v>
                </c:pt>
                <c:pt idx="684">
                  <c:v>711.72888807733182</c:v>
                </c:pt>
                <c:pt idx="685">
                  <c:v>711.72888807733182</c:v>
                </c:pt>
                <c:pt idx="686">
                  <c:v>711.72888807733182</c:v>
                </c:pt>
                <c:pt idx="687">
                  <c:v>711.72888807733182</c:v>
                </c:pt>
                <c:pt idx="688">
                  <c:v>711.72888807733182</c:v>
                </c:pt>
                <c:pt idx="689">
                  <c:v>711.72888807733182</c:v>
                </c:pt>
                <c:pt idx="690">
                  <c:v>711.72888807733182</c:v>
                </c:pt>
                <c:pt idx="691">
                  <c:v>711.72888807733182</c:v>
                </c:pt>
                <c:pt idx="692">
                  <c:v>711.72888807733182</c:v>
                </c:pt>
                <c:pt idx="693">
                  <c:v>711.72888807733182</c:v>
                </c:pt>
                <c:pt idx="694">
                  <c:v>711.72888807733182</c:v>
                </c:pt>
                <c:pt idx="695">
                  <c:v>711.72888807733182</c:v>
                </c:pt>
                <c:pt idx="696">
                  <c:v>711.72888807733182</c:v>
                </c:pt>
                <c:pt idx="697">
                  <c:v>711.72888807733182</c:v>
                </c:pt>
                <c:pt idx="698">
                  <c:v>711.72888807733182</c:v>
                </c:pt>
                <c:pt idx="699">
                  <c:v>711.72888807733182</c:v>
                </c:pt>
                <c:pt idx="700">
                  <c:v>711.72888807733182</c:v>
                </c:pt>
                <c:pt idx="701">
                  <c:v>711.72888807733182</c:v>
                </c:pt>
                <c:pt idx="702">
                  <c:v>711.72888807733182</c:v>
                </c:pt>
                <c:pt idx="703">
                  <c:v>711.72888807733182</c:v>
                </c:pt>
                <c:pt idx="704">
                  <c:v>711.72888807733182</c:v>
                </c:pt>
                <c:pt idx="705">
                  <c:v>711.72888807733182</c:v>
                </c:pt>
                <c:pt idx="706">
                  <c:v>711.72888807733182</c:v>
                </c:pt>
                <c:pt idx="707">
                  <c:v>711.72888807733182</c:v>
                </c:pt>
                <c:pt idx="708">
                  <c:v>711.72888807733182</c:v>
                </c:pt>
                <c:pt idx="709">
                  <c:v>711.72888807733182</c:v>
                </c:pt>
                <c:pt idx="710">
                  <c:v>711.72888807733182</c:v>
                </c:pt>
                <c:pt idx="711">
                  <c:v>711.72888807733182</c:v>
                </c:pt>
                <c:pt idx="712">
                  <c:v>711.72888807733182</c:v>
                </c:pt>
                <c:pt idx="713">
                  <c:v>711.72888807733182</c:v>
                </c:pt>
                <c:pt idx="714">
                  <c:v>711.72888807733182</c:v>
                </c:pt>
                <c:pt idx="715">
                  <c:v>711.72888807733182</c:v>
                </c:pt>
                <c:pt idx="716">
                  <c:v>711.72888807733182</c:v>
                </c:pt>
                <c:pt idx="717">
                  <c:v>711.72888807733182</c:v>
                </c:pt>
                <c:pt idx="718">
                  <c:v>711.72888807733182</c:v>
                </c:pt>
                <c:pt idx="719">
                  <c:v>711.72888807733182</c:v>
                </c:pt>
                <c:pt idx="720">
                  <c:v>711.72888807733182</c:v>
                </c:pt>
                <c:pt idx="721">
                  <c:v>711.72888807733182</c:v>
                </c:pt>
                <c:pt idx="722">
                  <c:v>711.72888807733182</c:v>
                </c:pt>
                <c:pt idx="723">
                  <c:v>711.72888807733182</c:v>
                </c:pt>
                <c:pt idx="724">
                  <c:v>711.72888807733182</c:v>
                </c:pt>
                <c:pt idx="725">
                  <c:v>711.72888807733182</c:v>
                </c:pt>
                <c:pt idx="726">
                  <c:v>711.72888807733182</c:v>
                </c:pt>
                <c:pt idx="727">
                  <c:v>711.72888807733182</c:v>
                </c:pt>
                <c:pt idx="728">
                  <c:v>711.72888807733182</c:v>
                </c:pt>
                <c:pt idx="729">
                  <c:v>711.72888807733182</c:v>
                </c:pt>
                <c:pt idx="730">
                  <c:v>711.72888807733182</c:v>
                </c:pt>
                <c:pt idx="731">
                  <c:v>711.72888807733182</c:v>
                </c:pt>
                <c:pt idx="732">
                  <c:v>711.72888807733182</c:v>
                </c:pt>
                <c:pt idx="733">
                  <c:v>711.72888807733182</c:v>
                </c:pt>
                <c:pt idx="734">
                  <c:v>711.72888807733182</c:v>
                </c:pt>
                <c:pt idx="735">
                  <c:v>711.72888807733182</c:v>
                </c:pt>
                <c:pt idx="736">
                  <c:v>711.72888807733182</c:v>
                </c:pt>
                <c:pt idx="737">
                  <c:v>711.72888807733182</c:v>
                </c:pt>
                <c:pt idx="738">
                  <c:v>711.72888807733182</c:v>
                </c:pt>
                <c:pt idx="739">
                  <c:v>711.72888807733182</c:v>
                </c:pt>
                <c:pt idx="740">
                  <c:v>711.72888807733182</c:v>
                </c:pt>
                <c:pt idx="741">
                  <c:v>711.72888807733182</c:v>
                </c:pt>
                <c:pt idx="742">
                  <c:v>711.72888807733182</c:v>
                </c:pt>
                <c:pt idx="743">
                  <c:v>711.72888807733182</c:v>
                </c:pt>
                <c:pt idx="744">
                  <c:v>711.72888807733182</c:v>
                </c:pt>
                <c:pt idx="745">
                  <c:v>711.72888807733182</c:v>
                </c:pt>
                <c:pt idx="746">
                  <c:v>711.72888807733182</c:v>
                </c:pt>
                <c:pt idx="747">
                  <c:v>711.72888807733182</c:v>
                </c:pt>
                <c:pt idx="748">
                  <c:v>711.72888807733182</c:v>
                </c:pt>
                <c:pt idx="749">
                  <c:v>711.72888807733182</c:v>
                </c:pt>
                <c:pt idx="750">
                  <c:v>711.72888807733182</c:v>
                </c:pt>
                <c:pt idx="751">
                  <c:v>711.72888807733182</c:v>
                </c:pt>
                <c:pt idx="752">
                  <c:v>711.72888807733182</c:v>
                </c:pt>
                <c:pt idx="753">
                  <c:v>711.72888807733182</c:v>
                </c:pt>
                <c:pt idx="754">
                  <c:v>711.72888807733182</c:v>
                </c:pt>
                <c:pt idx="755">
                  <c:v>711.72888807733182</c:v>
                </c:pt>
                <c:pt idx="756">
                  <c:v>711.72888807733182</c:v>
                </c:pt>
                <c:pt idx="757">
                  <c:v>711.72888807733182</c:v>
                </c:pt>
                <c:pt idx="758">
                  <c:v>711.72888807733182</c:v>
                </c:pt>
                <c:pt idx="759">
                  <c:v>711.72888807733182</c:v>
                </c:pt>
                <c:pt idx="760">
                  <c:v>711.72888807733182</c:v>
                </c:pt>
                <c:pt idx="761">
                  <c:v>711.72888807733182</c:v>
                </c:pt>
                <c:pt idx="762">
                  <c:v>711.72888807733182</c:v>
                </c:pt>
                <c:pt idx="763">
                  <c:v>711.72888807733182</c:v>
                </c:pt>
                <c:pt idx="764">
                  <c:v>711.72888807733182</c:v>
                </c:pt>
                <c:pt idx="765">
                  <c:v>711.72888807733182</c:v>
                </c:pt>
                <c:pt idx="766">
                  <c:v>711.72888807733182</c:v>
                </c:pt>
                <c:pt idx="767">
                  <c:v>711.72888807733182</c:v>
                </c:pt>
                <c:pt idx="768">
                  <c:v>711.72888807733182</c:v>
                </c:pt>
                <c:pt idx="769">
                  <c:v>711.72888807733182</c:v>
                </c:pt>
                <c:pt idx="770">
                  <c:v>711.72888807733182</c:v>
                </c:pt>
                <c:pt idx="771">
                  <c:v>711.72888807733182</c:v>
                </c:pt>
                <c:pt idx="772">
                  <c:v>711.72888807733182</c:v>
                </c:pt>
                <c:pt idx="773">
                  <c:v>711.72888807733182</c:v>
                </c:pt>
                <c:pt idx="774">
                  <c:v>711.72888807733182</c:v>
                </c:pt>
                <c:pt idx="775">
                  <c:v>711.72888807733182</c:v>
                </c:pt>
                <c:pt idx="776">
                  <c:v>711.72888807733182</c:v>
                </c:pt>
                <c:pt idx="777">
                  <c:v>711.72888807733182</c:v>
                </c:pt>
                <c:pt idx="778">
                  <c:v>711.72888807733182</c:v>
                </c:pt>
                <c:pt idx="779">
                  <c:v>711.72888807733182</c:v>
                </c:pt>
                <c:pt idx="780">
                  <c:v>711.72888807733182</c:v>
                </c:pt>
                <c:pt idx="781">
                  <c:v>711.72888807733182</c:v>
                </c:pt>
                <c:pt idx="782">
                  <c:v>711.72888807733182</c:v>
                </c:pt>
                <c:pt idx="783">
                  <c:v>711.72888807733182</c:v>
                </c:pt>
                <c:pt idx="784">
                  <c:v>711.72888807733182</c:v>
                </c:pt>
                <c:pt idx="785">
                  <c:v>711.72888807733182</c:v>
                </c:pt>
                <c:pt idx="786">
                  <c:v>711.72888807733182</c:v>
                </c:pt>
                <c:pt idx="787">
                  <c:v>711.72888807733182</c:v>
                </c:pt>
                <c:pt idx="788">
                  <c:v>711.72888807733182</c:v>
                </c:pt>
                <c:pt idx="789">
                  <c:v>711.72888807733182</c:v>
                </c:pt>
                <c:pt idx="790">
                  <c:v>711.72888807733182</c:v>
                </c:pt>
                <c:pt idx="791">
                  <c:v>711.72888807733182</c:v>
                </c:pt>
                <c:pt idx="792">
                  <c:v>711.72888807733182</c:v>
                </c:pt>
                <c:pt idx="793">
                  <c:v>711.72888807733182</c:v>
                </c:pt>
                <c:pt idx="794">
                  <c:v>711.72888807733182</c:v>
                </c:pt>
                <c:pt idx="795">
                  <c:v>711.72888807733182</c:v>
                </c:pt>
                <c:pt idx="796">
                  <c:v>711.72888807733182</c:v>
                </c:pt>
                <c:pt idx="797">
                  <c:v>711.72888807733182</c:v>
                </c:pt>
                <c:pt idx="798">
                  <c:v>711.72888807733182</c:v>
                </c:pt>
                <c:pt idx="799">
                  <c:v>711.72888807733182</c:v>
                </c:pt>
                <c:pt idx="800">
                  <c:v>711.72888807733182</c:v>
                </c:pt>
                <c:pt idx="801">
                  <c:v>711.72888807733182</c:v>
                </c:pt>
                <c:pt idx="802">
                  <c:v>711.72888807733182</c:v>
                </c:pt>
                <c:pt idx="803">
                  <c:v>711.72888807733182</c:v>
                </c:pt>
                <c:pt idx="804">
                  <c:v>711.72888807733182</c:v>
                </c:pt>
                <c:pt idx="805">
                  <c:v>711.72888807733182</c:v>
                </c:pt>
                <c:pt idx="806">
                  <c:v>711.72888807733182</c:v>
                </c:pt>
                <c:pt idx="807">
                  <c:v>711.72888807733182</c:v>
                </c:pt>
                <c:pt idx="808">
                  <c:v>711.72888807733182</c:v>
                </c:pt>
                <c:pt idx="809">
                  <c:v>711.72888807733182</c:v>
                </c:pt>
                <c:pt idx="810">
                  <c:v>711.72888807733182</c:v>
                </c:pt>
                <c:pt idx="811">
                  <c:v>711.72888807733182</c:v>
                </c:pt>
                <c:pt idx="812">
                  <c:v>711.72888807733182</c:v>
                </c:pt>
                <c:pt idx="813">
                  <c:v>711.72888807733182</c:v>
                </c:pt>
                <c:pt idx="814">
                  <c:v>711.72888807733182</c:v>
                </c:pt>
                <c:pt idx="815">
                  <c:v>711.72888807733182</c:v>
                </c:pt>
                <c:pt idx="816">
                  <c:v>711.72888807733182</c:v>
                </c:pt>
                <c:pt idx="817">
                  <c:v>711.72888807733182</c:v>
                </c:pt>
                <c:pt idx="818">
                  <c:v>711.72888807733182</c:v>
                </c:pt>
                <c:pt idx="819">
                  <c:v>711.72888807733182</c:v>
                </c:pt>
                <c:pt idx="820">
                  <c:v>711.72888807733182</c:v>
                </c:pt>
                <c:pt idx="821">
                  <c:v>711.72888807733182</c:v>
                </c:pt>
                <c:pt idx="822">
                  <c:v>711.72888807733182</c:v>
                </c:pt>
                <c:pt idx="823">
                  <c:v>711.72888807733182</c:v>
                </c:pt>
                <c:pt idx="824">
                  <c:v>711.72888807733182</c:v>
                </c:pt>
                <c:pt idx="825">
                  <c:v>711.72888807733182</c:v>
                </c:pt>
                <c:pt idx="826">
                  <c:v>711.72888807733182</c:v>
                </c:pt>
                <c:pt idx="827">
                  <c:v>711.72888807733182</c:v>
                </c:pt>
                <c:pt idx="828">
                  <c:v>711.72888807733182</c:v>
                </c:pt>
                <c:pt idx="829">
                  <c:v>711.72888807733182</c:v>
                </c:pt>
                <c:pt idx="830">
                  <c:v>711.72888807733182</c:v>
                </c:pt>
                <c:pt idx="831">
                  <c:v>711.72888807733182</c:v>
                </c:pt>
                <c:pt idx="832">
                  <c:v>711.72888807733182</c:v>
                </c:pt>
                <c:pt idx="833">
                  <c:v>711.72888807733182</c:v>
                </c:pt>
                <c:pt idx="834">
                  <c:v>711.72888807733182</c:v>
                </c:pt>
                <c:pt idx="835">
                  <c:v>711.72888807733182</c:v>
                </c:pt>
                <c:pt idx="836">
                  <c:v>711.72888807733182</c:v>
                </c:pt>
                <c:pt idx="837">
                  <c:v>711.72888807733182</c:v>
                </c:pt>
                <c:pt idx="838">
                  <c:v>711.72888807733182</c:v>
                </c:pt>
                <c:pt idx="839">
                  <c:v>711.72888807733182</c:v>
                </c:pt>
                <c:pt idx="840">
                  <c:v>711.72888807733182</c:v>
                </c:pt>
                <c:pt idx="841">
                  <c:v>711.72888807733182</c:v>
                </c:pt>
                <c:pt idx="842">
                  <c:v>711.72888807733182</c:v>
                </c:pt>
                <c:pt idx="843">
                  <c:v>711.72888807733182</c:v>
                </c:pt>
                <c:pt idx="844">
                  <c:v>711.72888807733182</c:v>
                </c:pt>
                <c:pt idx="845">
                  <c:v>711.72888807733182</c:v>
                </c:pt>
                <c:pt idx="846">
                  <c:v>711.72888807733182</c:v>
                </c:pt>
                <c:pt idx="847">
                  <c:v>711.72888807733182</c:v>
                </c:pt>
                <c:pt idx="848">
                  <c:v>711.72888807733182</c:v>
                </c:pt>
                <c:pt idx="849">
                  <c:v>711.72888807733182</c:v>
                </c:pt>
                <c:pt idx="850">
                  <c:v>711.72888807733182</c:v>
                </c:pt>
                <c:pt idx="851">
                  <c:v>711.72888807733182</c:v>
                </c:pt>
                <c:pt idx="852">
                  <c:v>711.72888807733182</c:v>
                </c:pt>
                <c:pt idx="853">
                  <c:v>711.72888807733182</c:v>
                </c:pt>
                <c:pt idx="854">
                  <c:v>711.72888807733182</c:v>
                </c:pt>
                <c:pt idx="855">
                  <c:v>711.72888807733182</c:v>
                </c:pt>
                <c:pt idx="856">
                  <c:v>711.72888807733182</c:v>
                </c:pt>
                <c:pt idx="857">
                  <c:v>711.72888807733182</c:v>
                </c:pt>
                <c:pt idx="858">
                  <c:v>711.72888807733182</c:v>
                </c:pt>
                <c:pt idx="859">
                  <c:v>711.72888807733182</c:v>
                </c:pt>
                <c:pt idx="860">
                  <c:v>711.72888807733182</c:v>
                </c:pt>
                <c:pt idx="861">
                  <c:v>711.72888807733182</c:v>
                </c:pt>
                <c:pt idx="862">
                  <c:v>711.72888807733182</c:v>
                </c:pt>
                <c:pt idx="863">
                  <c:v>711.72888807733182</c:v>
                </c:pt>
                <c:pt idx="864">
                  <c:v>711.72888807733182</c:v>
                </c:pt>
                <c:pt idx="865">
                  <c:v>711.72888807733182</c:v>
                </c:pt>
                <c:pt idx="866">
                  <c:v>711.72888807733182</c:v>
                </c:pt>
                <c:pt idx="867">
                  <c:v>711.72888807733182</c:v>
                </c:pt>
                <c:pt idx="868">
                  <c:v>711.72888807733182</c:v>
                </c:pt>
                <c:pt idx="869">
                  <c:v>711.72888807733182</c:v>
                </c:pt>
                <c:pt idx="870">
                  <c:v>711.72888807733182</c:v>
                </c:pt>
                <c:pt idx="871">
                  <c:v>711.72888807733182</c:v>
                </c:pt>
                <c:pt idx="872">
                  <c:v>711.72888807733182</c:v>
                </c:pt>
                <c:pt idx="873">
                  <c:v>711.72888807733182</c:v>
                </c:pt>
                <c:pt idx="874">
                  <c:v>711.72888807733182</c:v>
                </c:pt>
                <c:pt idx="875">
                  <c:v>711.72888807733182</c:v>
                </c:pt>
                <c:pt idx="876">
                  <c:v>711.72888807733182</c:v>
                </c:pt>
                <c:pt idx="877">
                  <c:v>711.72888807733182</c:v>
                </c:pt>
                <c:pt idx="878">
                  <c:v>711.72888807733182</c:v>
                </c:pt>
                <c:pt idx="879">
                  <c:v>711.72888807733182</c:v>
                </c:pt>
                <c:pt idx="880">
                  <c:v>711.72888807733182</c:v>
                </c:pt>
                <c:pt idx="881">
                  <c:v>711.72888807733182</c:v>
                </c:pt>
                <c:pt idx="882">
                  <c:v>711.72888807733182</c:v>
                </c:pt>
                <c:pt idx="883">
                  <c:v>711.72888807733182</c:v>
                </c:pt>
                <c:pt idx="884">
                  <c:v>711.72888807733182</c:v>
                </c:pt>
                <c:pt idx="885">
                  <c:v>711.72888807733182</c:v>
                </c:pt>
                <c:pt idx="886">
                  <c:v>711.72888807733182</c:v>
                </c:pt>
                <c:pt idx="887">
                  <c:v>711.72888807733182</c:v>
                </c:pt>
                <c:pt idx="888">
                  <c:v>711.72888807733182</c:v>
                </c:pt>
                <c:pt idx="889">
                  <c:v>711.72888807733182</c:v>
                </c:pt>
                <c:pt idx="890">
                  <c:v>711.72888807733182</c:v>
                </c:pt>
                <c:pt idx="891">
                  <c:v>711.72888807733182</c:v>
                </c:pt>
                <c:pt idx="892">
                  <c:v>711.72888807733182</c:v>
                </c:pt>
                <c:pt idx="893">
                  <c:v>711.72888807733182</c:v>
                </c:pt>
                <c:pt idx="894">
                  <c:v>711.72888807733182</c:v>
                </c:pt>
                <c:pt idx="895">
                  <c:v>711.72888807733182</c:v>
                </c:pt>
                <c:pt idx="896">
                  <c:v>711.72888807733182</c:v>
                </c:pt>
                <c:pt idx="897">
                  <c:v>711.72888807733182</c:v>
                </c:pt>
                <c:pt idx="898">
                  <c:v>711.72888807733182</c:v>
                </c:pt>
                <c:pt idx="899">
                  <c:v>711.72888807733182</c:v>
                </c:pt>
                <c:pt idx="900">
                  <c:v>711.72888807733182</c:v>
                </c:pt>
                <c:pt idx="901">
                  <c:v>711.72888807733182</c:v>
                </c:pt>
                <c:pt idx="902">
                  <c:v>711.72888807733182</c:v>
                </c:pt>
                <c:pt idx="903">
                  <c:v>711.72888807733182</c:v>
                </c:pt>
                <c:pt idx="904">
                  <c:v>711.72888807733182</c:v>
                </c:pt>
                <c:pt idx="905">
                  <c:v>711.72888807733182</c:v>
                </c:pt>
                <c:pt idx="906">
                  <c:v>711.72888807733182</c:v>
                </c:pt>
                <c:pt idx="907">
                  <c:v>711.72888807733182</c:v>
                </c:pt>
                <c:pt idx="908">
                  <c:v>711.72888807733182</c:v>
                </c:pt>
                <c:pt idx="909">
                  <c:v>711.72888807733182</c:v>
                </c:pt>
                <c:pt idx="910">
                  <c:v>711.72888807733182</c:v>
                </c:pt>
                <c:pt idx="911">
                  <c:v>711.72888807733182</c:v>
                </c:pt>
                <c:pt idx="912">
                  <c:v>711.72888807733182</c:v>
                </c:pt>
                <c:pt idx="913">
                  <c:v>711.72888807733182</c:v>
                </c:pt>
                <c:pt idx="914">
                  <c:v>711.72888807733182</c:v>
                </c:pt>
                <c:pt idx="915">
                  <c:v>711.72888807733182</c:v>
                </c:pt>
                <c:pt idx="916">
                  <c:v>711.72888807733182</c:v>
                </c:pt>
                <c:pt idx="917">
                  <c:v>711.72888807733182</c:v>
                </c:pt>
                <c:pt idx="918">
                  <c:v>711.72888807733182</c:v>
                </c:pt>
                <c:pt idx="919">
                  <c:v>711.72888807733182</c:v>
                </c:pt>
                <c:pt idx="920">
                  <c:v>711.72888807733182</c:v>
                </c:pt>
                <c:pt idx="921">
                  <c:v>711.72888807733182</c:v>
                </c:pt>
                <c:pt idx="922">
                  <c:v>711.72888807733182</c:v>
                </c:pt>
                <c:pt idx="923">
                  <c:v>711.72888807733182</c:v>
                </c:pt>
                <c:pt idx="924">
                  <c:v>711.72888807733182</c:v>
                </c:pt>
                <c:pt idx="925">
                  <c:v>711.72888807733182</c:v>
                </c:pt>
                <c:pt idx="926">
                  <c:v>711.72888807733182</c:v>
                </c:pt>
                <c:pt idx="927">
                  <c:v>711.72888807733182</c:v>
                </c:pt>
                <c:pt idx="928">
                  <c:v>711.72888807733182</c:v>
                </c:pt>
                <c:pt idx="929">
                  <c:v>711.72888807733182</c:v>
                </c:pt>
                <c:pt idx="930">
                  <c:v>711.72888807733182</c:v>
                </c:pt>
                <c:pt idx="931">
                  <c:v>711.72888807733182</c:v>
                </c:pt>
                <c:pt idx="932">
                  <c:v>711.72888807733182</c:v>
                </c:pt>
                <c:pt idx="933">
                  <c:v>711.72888807733182</c:v>
                </c:pt>
                <c:pt idx="934">
                  <c:v>711.72888807733182</c:v>
                </c:pt>
                <c:pt idx="935">
                  <c:v>711.72888807733182</c:v>
                </c:pt>
                <c:pt idx="936">
                  <c:v>711.72888807733182</c:v>
                </c:pt>
                <c:pt idx="937">
                  <c:v>711.72888807733182</c:v>
                </c:pt>
                <c:pt idx="938">
                  <c:v>711.72888807733182</c:v>
                </c:pt>
                <c:pt idx="939">
                  <c:v>711.72888807733182</c:v>
                </c:pt>
                <c:pt idx="940">
                  <c:v>711.72888807733182</c:v>
                </c:pt>
                <c:pt idx="941">
                  <c:v>711.72888807733182</c:v>
                </c:pt>
                <c:pt idx="942">
                  <c:v>711.72888807733182</c:v>
                </c:pt>
                <c:pt idx="943">
                  <c:v>711.72888807733182</c:v>
                </c:pt>
                <c:pt idx="944">
                  <c:v>711.72888807733182</c:v>
                </c:pt>
                <c:pt idx="945">
                  <c:v>711.72888807733182</c:v>
                </c:pt>
                <c:pt idx="946">
                  <c:v>711.72888807733182</c:v>
                </c:pt>
                <c:pt idx="947">
                  <c:v>711.72888807733182</c:v>
                </c:pt>
                <c:pt idx="948">
                  <c:v>711.72888807733182</c:v>
                </c:pt>
                <c:pt idx="949">
                  <c:v>711.72888807733182</c:v>
                </c:pt>
                <c:pt idx="950">
                  <c:v>711.72888807733182</c:v>
                </c:pt>
                <c:pt idx="951">
                  <c:v>711.72888807733182</c:v>
                </c:pt>
                <c:pt idx="952">
                  <c:v>711.72888807733182</c:v>
                </c:pt>
                <c:pt idx="953">
                  <c:v>711.72888807733182</c:v>
                </c:pt>
                <c:pt idx="954">
                  <c:v>711.72888807733182</c:v>
                </c:pt>
                <c:pt idx="955">
                  <c:v>711.72888807733182</c:v>
                </c:pt>
                <c:pt idx="956">
                  <c:v>711.72888807733182</c:v>
                </c:pt>
                <c:pt idx="957">
                  <c:v>711.72888807733182</c:v>
                </c:pt>
                <c:pt idx="958">
                  <c:v>711.72888807733182</c:v>
                </c:pt>
                <c:pt idx="959">
                  <c:v>711.72888807733182</c:v>
                </c:pt>
                <c:pt idx="960">
                  <c:v>711.72888807733182</c:v>
                </c:pt>
                <c:pt idx="961">
                  <c:v>711.72888807733182</c:v>
                </c:pt>
                <c:pt idx="962">
                  <c:v>711.72888807733182</c:v>
                </c:pt>
                <c:pt idx="963">
                  <c:v>711.72888807733182</c:v>
                </c:pt>
                <c:pt idx="964">
                  <c:v>711.72888807733182</c:v>
                </c:pt>
                <c:pt idx="965">
                  <c:v>711.72888807733182</c:v>
                </c:pt>
                <c:pt idx="966">
                  <c:v>711.72888807733182</c:v>
                </c:pt>
                <c:pt idx="967">
                  <c:v>711.72888807733182</c:v>
                </c:pt>
                <c:pt idx="968">
                  <c:v>711.72888807733182</c:v>
                </c:pt>
                <c:pt idx="969">
                  <c:v>711.72888807733182</c:v>
                </c:pt>
                <c:pt idx="970">
                  <c:v>711.72888807733182</c:v>
                </c:pt>
                <c:pt idx="971">
                  <c:v>711.72888807733182</c:v>
                </c:pt>
                <c:pt idx="972">
                  <c:v>711.72888807733182</c:v>
                </c:pt>
                <c:pt idx="973">
                  <c:v>711.72888807733182</c:v>
                </c:pt>
                <c:pt idx="974">
                  <c:v>711.72888807733182</c:v>
                </c:pt>
                <c:pt idx="975">
                  <c:v>711.72888807733182</c:v>
                </c:pt>
                <c:pt idx="976">
                  <c:v>711.72888807733182</c:v>
                </c:pt>
                <c:pt idx="977">
                  <c:v>711.72888807733182</c:v>
                </c:pt>
                <c:pt idx="978">
                  <c:v>711.72888807733182</c:v>
                </c:pt>
                <c:pt idx="979">
                  <c:v>711.72888807733182</c:v>
                </c:pt>
                <c:pt idx="980">
                  <c:v>711.72888807733182</c:v>
                </c:pt>
                <c:pt idx="981">
                  <c:v>711.72888807733182</c:v>
                </c:pt>
                <c:pt idx="982">
                  <c:v>711.72888807733182</c:v>
                </c:pt>
                <c:pt idx="983">
                  <c:v>711.72888807733182</c:v>
                </c:pt>
                <c:pt idx="984">
                  <c:v>711.72888807733182</c:v>
                </c:pt>
                <c:pt idx="985">
                  <c:v>711.72888807733182</c:v>
                </c:pt>
                <c:pt idx="986">
                  <c:v>711.72888807733182</c:v>
                </c:pt>
                <c:pt idx="987">
                  <c:v>711.72888807733182</c:v>
                </c:pt>
                <c:pt idx="988">
                  <c:v>711.72888807733182</c:v>
                </c:pt>
                <c:pt idx="989">
                  <c:v>711.72888807733182</c:v>
                </c:pt>
                <c:pt idx="990">
                  <c:v>711.72888807733182</c:v>
                </c:pt>
                <c:pt idx="991">
                  <c:v>711.72888807733182</c:v>
                </c:pt>
                <c:pt idx="992">
                  <c:v>711.72888807733182</c:v>
                </c:pt>
                <c:pt idx="993">
                  <c:v>711.72888807733182</c:v>
                </c:pt>
                <c:pt idx="994">
                  <c:v>711.72888807733182</c:v>
                </c:pt>
                <c:pt idx="995">
                  <c:v>711.72888807733182</c:v>
                </c:pt>
                <c:pt idx="996">
                  <c:v>711.72888807733182</c:v>
                </c:pt>
                <c:pt idx="997">
                  <c:v>711.72888807733182</c:v>
                </c:pt>
                <c:pt idx="998">
                  <c:v>711.72888807733182</c:v>
                </c:pt>
                <c:pt idx="999">
                  <c:v>711.72888807733182</c:v>
                </c:pt>
                <c:pt idx="1000">
                  <c:v>711.72888807733182</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35.100000000000186</c:v>
                </c:pt>
                <c:pt idx="500">
                  <c:v>35.200000000000188</c:v>
                </c:pt>
                <c:pt idx="501">
                  <c:v>35.300000000000189</c:v>
                </c:pt>
                <c:pt idx="502">
                  <c:v>35.40000000000019</c:v>
                </c:pt>
                <c:pt idx="503">
                  <c:v>35.500000000000192</c:v>
                </c:pt>
                <c:pt idx="504">
                  <c:v>35.600000000000193</c:v>
                </c:pt>
                <c:pt idx="505">
                  <c:v>35.700000000000195</c:v>
                </c:pt>
                <c:pt idx="506">
                  <c:v>35.800000000000196</c:v>
                </c:pt>
                <c:pt idx="507">
                  <c:v>35.900000000000198</c:v>
                </c:pt>
                <c:pt idx="508">
                  <c:v>36.000000000000199</c:v>
                </c:pt>
                <c:pt idx="509">
                  <c:v>36.1000000000002</c:v>
                </c:pt>
                <c:pt idx="510">
                  <c:v>36.200000000000202</c:v>
                </c:pt>
                <c:pt idx="511">
                  <c:v>36.300000000000203</c:v>
                </c:pt>
                <c:pt idx="512">
                  <c:v>36.400000000000205</c:v>
                </c:pt>
                <c:pt idx="513">
                  <c:v>36.500000000000206</c:v>
                </c:pt>
                <c:pt idx="514">
                  <c:v>36.600000000000207</c:v>
                </c:pt>
                <c:pt idx="515">
                  <c:v>36.600100000000211</c:v>
                </c:pt>
                <c:pt idx="516">
                  <c:v>36.600200000000214</c:v>
                </c:pt>
                <c:pt idx="517">
                  <c:v>36.600300000000217</c:v>
                </c:pt>
                <c:pt idx="518">
                  <c:v>36.600400000000221</c:v>
                </c:pt>
                <c:pt idx="519">
                  <c:v>36.600500000000224</c:v>
                </c:pt>
                <c:pt idx="520">
                  <c:v>36.600600000000227</c:v>
                </c:pt>
                <c:pt idx="521">
                  <c:v>36.600700000000231</c:v>
                </c:pt>
                <c:pt idx="522">
                  <c:v>36.600800000000234</c:v>
                </c:pt>
                <c:pt idx="523">
                  <c:v>36.600900000000237</c:v>
                </c:pt>
                <c:pt idx="524">
                  <c:v>36.601000000000241</c:v>
                </c:pt>
                <c:pt idx="525">
                  <c:v>36.601100000000244</c:v>
                </c:pt>
                <c:pt idx="526">
                  <c:v>36.601200000000247</c:v>
                </c:pt>
                <c:pt idx="527">
                  <c:v>36.601300000000251</c:v>
                </c:pt>
                <c:pt idx="528">
                  <c:v>36.601400000000254</c:v>
                </c:pt>
                <c:pt idx="529">
                  <c:v>36.601500000000257</c:v>
                </c:pt>
                <c:pt idx="530">
                  <c:v>36.601600000000261</c:v>
                </c:pt>
                <c:pt idx="531">
                  <c:v>36.601700000000264</c:v>
                </c:pt>
                <c:pt idx="532">
                  <c:v>36.601800000000267</c:v>
                </c:pt>
                <c:pt idx="533">
                  <c:v>36.601900000000271</c:v>
                </c:pt>
                <c:pt idx="534">
                  <c:v>36.602000000000274</c:v>
                </c:pt>
                <c:pt idx="535">
                  <c:v>36.602100000000277</c:v>
                </c:pt>
                <c:pt idx="536">
                  <c:v>36.602200000000281</c:v>
                </c:pt>
                <c:pt idx="537">
                  <c:v>36.602300000000284</c:v>
                </c:pt>
                <c:pt idx="538">
                  <c:v>36.602400000000287</c:v>
                </c:pt>
                <c:pt idx="539">
                  <c:v>36.60250000000029</c:v>
                </c:pt>
                <c:pt idx="540">
                  <c:v>36.602600000000294</c:v>
                </c:pt>
                <c:pt idx="541">
                  <c:v>36.602700000000297</c:v>
                </c:pt>
                <c:pt idx="542">
                  <c:v>36.6028000000003</c:v>
                </c:pt>
                <c:pt idx="543">
                  <c:v>36.602900000000304</c:v>
                </c:pt>
                <c:pt idx="544">
                  <c:v>36.603000000000307</c:v>
                </c:pt>
                <c:pt idx="545">
                  <c:v>36.60310000000031</c:v>
                </c:pt>
                <c:pt idx="546">
                  <c:v>36.603200000000314</c:v>
                </c:pt>
                <c:pt idx="547">
                  <c:v>36.603300000000317</c:v>
                </c:pt>
                <c:pt idx="548">
                  <c:v>36.60340000000032</c:v>
                </c:pt>
                <c:pt idx="549">
                  <c:v>36.603500000000324</c:v>
                </c:pt>
                <c:pt idx="550">
                  <c:v>36.603600000000327</c:v>
                </c:pt>
                <c:pt idx="551">
                  <c:v>36.60370000000033</c:v>
                </c:pt>
                <c:pt idx="552">
                  <c:v>36.603800000000334</c:v>
                </c:pt>
                <c:pt idx="553">
                  <c:v>36.603900000000337</c:v>
                </c:pt>
                <c:pt idx="554">
                  <c:v>36.60400000000034</c:v>
                </c:pt>
                <c:pt idx="555">
                  <c:v>36.604100000000344</c:v>
                </c:pt>
                <c:pt idx="556">
                  <c:v>36.604200000000347</c:v>
                </c:pt>
                <c:pt idx="557">
                  <c:v>36.60430000000035</c:v>
                </c:pt>
                <c:pt idx="558">
                  <c:v>36.604400000000354</c:v>
                </c:pt>
                <c:pt idx="559">
                  <c:v>36.604500000000357</c:v>
                </c:pt>
                <c:pt idx="560">
                  <c:v>36.60460000000036</c:v>
                </c:pt>
                <c:pt idx="561">
                  <c:v>36.604700000000364</c:v>
                </c:pt>
                <c:pt idx="562">
                  <c:v>36.604800000000367</c:v>
                </c:pt>
                <c:pt idx="563">
                  <c:v>36.60490000000037</c:v>
                </c:pt>
                <c:pt idx="564">
                  <c:v>36.605000000000373</c:v>
                </c:pt>
                <c:pt idx="565">
                  <c:v>36.605100000000377</c:v>
                </c:pt>
                <c:pt idx="566">
                  <c:v>36.60520000000038</c:v>
                </c:pt>
                <c:pt idx="567">
                  <c:v>36.605300000000383</c:v>
                </c:pt>
                <c:pt idx="568">
                  <c:v>36.605400000000387</c:v>
                </c:pt>
                <c:pt idx="569">
                  <c:v>36.60550000000039</c:v>
                </c:pt>
                <c:pt idx="570">
                  <c:v>36.605600000000393</c:v>
                </c:pt>
                <c:pt idx="571">
                  <c:v>36.605700000000397</c:v>
                </c:pt>
                <c:pt idx="572">
                  <c:v>36.6058000000004</c:v>
                </c:pt>
                <c:pt idx="573">
                  <c:v>36.605900000000403</c:v>
                </c:pt>
                <c:pt idx="574">
                  <c:v>36.606000000000407</c:v>
                </c:pt>
                <c:pt idx="575">
                  <c:v>36.60610000000041</c:v>
                </c:pt>
                <c:pt idx="576">
                  <c:v>36.606200000000413</c:v>
                </c:pt>
                <c:pt idx="577">
                  <c:v>36.606300000000417</c:v>
                </c:pt>
                <c:pt idx="578">
                  <c:v>36.60640000000042</c:v>
                </c:pt>
                <c:pt idx="579">
                  <c:v>36.606500000000423</c:v>
                </c:pt>
                <c:pt idx="580">
                  <c:v>36.606600000000427</c:v>
                </c:pt>
                <c:pt idx="581">
                  <c:v>36.60670000000043</c:v>
                </c:pt>
                <c:pt idx="582">
                  <c:v>36.606800000000433</c:v>
                </c:pt>
                <c:pt idx="583">
                  <c:v>36.606900000000437</c:v>
                </c:pt>
                <c:pt idx="584">
                  <c:v>36.60700000000044</c:v>
                </c:pt>
                <c:pt idx="585">
                  <c:v>36.607100000000443</c:v>
                </c:pt>
                <c:pt idx="586">
                  <c:v>36.607200000000446</c:v>
                </c:pt>
                <c:pt idx="587">
                  <c:v>36.60730000000045</c:v>
                </c:pt>
                <c:pt idx="588">
                  <c:v>36.607400000000453</c:v>
                </c:pt>
                <c:pt idx="589">
                  <c:v>36.607500000000456</c:v>
                </c:pt>
                <c:pt idx="590">
                  <c:v>36.60760000000046</c:v>
                </c:pt>
                <c:pt idx="591">
                  <c:v>36.607700000000463</c:v>
                </c:pt>
                <c:pt idx="592">
                  <c:v>36.607800000000466</c:v>
                </c:pt>
                <c:pt idx="593">
                  <c:v>36.60790000000047</c:v>
                </c:pt>
                <c:pt idx="594">
                  <c:v>36.608000000000473</c:v>
                </c:pt>
                <c:pt idx="595">
                  <c:v>36.608100000000476</c:v>
                </c:pt>
                <c:pt idx="596">
                  <c:v>36.60820000000048</c:v>
                </c:pt>
                <c:pt idx="597">
                  <c:v>36.608300000000483</c:v>
                </c:pt>
                <c:pt idx="598">
                  <c:v>36.608400000000486</c:v>
                </c:pt>
                <c:pt idx="599">
                  <c:v>36.60850000000049</c:v>
                </c:pt>
                <c:pt idx="600">
                  <c:v>36.608600000000493</c:v>
                </c:pt>
                <c:pt idx="601">
                  <c:v>36.608700000000496</c:v>
                </c:pt>
                <c:pt idx="602">
                  <c:v>36.6088000000005</c:v>
                </c:pt>
                <c:pt idx="603">
                  <c:v>36.608900000000503</c:v>
                </c:pt>
                <c:pt idx="604">
                  <c:v>36.609000000000506</c:v>
                </c:pt>
                <c:pt idx="605">
                  <c:v>36.60910000000051</c:v>
                </c:pt>
                <c:pt idx="606">
                  <c:v>36.609200000000513</c:v>
                </c:pt>
                <c:pt idx="607">
                  <c:v>36.609300000000516</c:v>
                </c:pt>
                <c:pt idx="608">
                  <c:v>36.60940000000052</c:v>
                </c:pt>
                <c:pt idx="609">
                  <c:v>36.609500000000523</c:v>
                </c:pt>
                <c:pt idx="610">
                  <c:v>36.609600000000526</c:v>
                </c:pt>
                <c:pt idx="611">
                  <c:v>36.609700000000529</c:v>
                </c:pt>
                <c:pt idx="612">
                  <c:v>36.609800000000533</c:v>
                </c:pt>
                <c:pt idx="613">
                  <c:v>36.609900000000536</c:v>
                </c:pt>
                <c:pt idx="614">
                  <c:v>36.610000000000539</c:v>
                </c:pt>
                <c:pt idx="615">
                  <c:v>36.610100000000543</c:v>
                </c:pt>
                <c:pt idx="616">
                  <c:v>36.610200000000546</c:v>
                </c:pt>
                <c:pt idx="617">
                  <c:v>36.610300000000549</c:v>
                </c:pt>
                <c:pt idx="618">
                  <c:v>36.610400000000553</c:v>
                </c:pt>
                <c:pt idx="619">
                  <c:v>36.610500000000556</c:v>
                </c:pt>
                <c:pt idx="620">
                  <c:v>36.610600000000559</c:v>
                </c:pt>
                <c:pt idx="621">
                  <c:v>36.610700000000563</c:v>
                </c:pt>
                <c:pt idx="622">
                  <c:v>36.610800000000566</c:v>
                </c:pt>
                <c:pt idx="623">
                  <c:v>36.610900000000569</c:v>
                </c:pt>
                <c:pt idx="624">
                  <c:v>36.611000000000573</c:v>
                </c:pt>
                <c:pt idx="625">
                  <c:v>36.611100000000576</c:v>
                </c:pt>
                <c:pt idx="626">
                  <c:v>36.611200000000579</c:v>
                </c:pt>
                <c:pt idx="627">
                  <c:v>36.611300000000583</c:v>
                </c:pt>
                <c:pt idx="628">
                  <c:v>36.611400000000586</c:v>
                </c:pt>
                <c:pt idx="629">
                  <c:v>36.611500000000589</c:v>
                </c:pt>
                <c:pt idx="630">
                  <c:v>36.611600000000593</c:v>
                </c:pt>
                <c:pt idx="631">
                  <c:v>36.611700000000596</c:v>
                </c:pt>
                <c:pt idx="632">
                  <c:v>36.611800000000599</c:v>
                </c:pt>
                <c:pt idx="633">
                  <c:v>36.611900000000603</c:v>
                </c:pt>
                <c:pt idx="634">
                  <c:v>36.612000000000606</c:v>
                </c:pt>
                <c:pt idx="635">
                  <c:v>36.612100000000609</c:v>
                </c:pt>
                <c:pt idx="636">
                  <c:v>36.612200000000612</c:v>
                </c:pt>
                <c:pt idx="637">
                  <c:v>36.612300000000616</c:v>
                </c:pt>
                <c:pt idx="638">
                  <c:v>36.612400000000619</c:v>
                </c:pt>
                <c:pt idx="639">
                  <c:v>36.612500000000622</c:v>
                </c:pt>
                <c:pt idx="640">
                  <c:v>36.612600000000626</c:v>
                </c:pt>
                <c:pt idx="641">
                  <c:v>36.612700000000629</c:v>
                </c:pt>
                <c:pt idx="642">
                  <c:v>36.612800000000632</c:v>
                </c:pt>
                <c:pt idx="643">
                  <c:v>36.612900000000636</c:v>
                </c:pt>
                <c:pt idx="644">
                  <c:v>36.613000000000639</c:v>
                </c:pt>
                <c:pt idx="645">
                  <c:v>36.613100000000642</c:v>
                </c:pt>
                <c:pt idx="646">
                  <c:v>36.613200000000646</c:v>
                </c:pt>
                <c:pt idx="647">
                  <c:v>36.613300000000649</c:v>
                </c:pt>
                <c:pt idx="648">
                  <c:v>36.613400000000652</c:v>
                </c:pt>
                <c:pt idx="649">
                  <c:v>36.613500000000656</c:v>
                </c:pt>
                <c:pt idx="650">
                  <c:v>36.613600000000659</c:v>
                </c:pt>
                <c:pt idx="651">
                  <c:v>36.613700000000662</c:v>
                </c:pt>
                <c:pt idx="652">
                  <c:v>36.613800000000666</c:v>
                </c:pt>
                <c:pt idx="653">
                  <c:v>36.613900000000669</c:v>
                </c:pt>
                <c:pt idx="654">
                  <c:v>36.614000000000672</c:v>
                </c:pt>
                <c:pt idx="655">
                  <c:v>36.614100000000676</c:v>
                </c:pt>
                <c:pt idx="656">
                  <c:v>36.614200000000679</c:v>
                </c:pt>
                <c:pt idx="657">
                  <c:v>36.614300000000682</c:v>
                </c:pt>
                <c:pt idx="658">
                  <c:v>36.614400000000686</c:v>
                </c:pt>
                <c:pt idx="659">
                  <c:v>36.614500000000689</c:v>
                </c:pt>
                <c:pt idx="660">
                  <c:v>36.614600000000692</c:v>
                </c:pt>
                <c:pt idx="661">
                  <c:v>36.614700000000695</c:v>
                </c:pt>
                <c:pt idx="662">
                  <c:v>36.614800000000699</c:v>
                </c:pt>
                <c:pt idx="663">
                  <c:v>36.614900000000702</c:v>
                </c:pt>
                <c:pt idx="664">
                  <c:v>36.615000000000705</c:v>
                </c:pt>
                <c:pt idx="665">
                  <c:v>36.615100000000709</c:v>
                </c:pt>
                <c:pt idx="666">
                  <c:v>36.615200000000712</c:v>
                </c:pt>
                <c:pt idx="667">
                  <c:v>36.615300000000715</c:v>
                </c:pt>
                <c:pt idx="668">
                  <c:v>36.615400000000719</c:v>
                </c:pt>
                <c:pt idx="669">
                  <c:v>36.615500000000722</c:v>
                </c:pt>
                <c:pt idx="670">
                  <c:v>36.615600000000725</c:v>
                </c:pt>
                <c:pt idx="671">
                  <c:v>36.615700000000729</c:v>
                </c:pt>
                <c:pt idx="672">
                  <c:v>36.615800000000732</c:v>
                </c:pt>
                <c:pt idx="673">
                  <c:v>36.615900000000735</c:v>
                </c:pt>
                <c:pt idx="674">
                  <c:v>36.616000000000739</c:v>
                </c:pt>
                <c:pt idx="675">
                  <c:v>36.616100000000742</c:v>
                </c:pt>
                <c:pt idx="676">
                  <c:v>36.616200000000745</c:v>
                </c:pt>
                <c:pt idx="677">
                  <c:v>36.616300000000749</c:v>
                </c:pt>
                <c:pt idx="678">
                  <c:v>36.616400000000752</c:v>
                </c:pt>
                <c:pt idx="679">
                  <c:v>36.616500000000755</c:v>
                </c:pt>
                <c:pt idx="680">
                  <c:v>36.616600000000759</c:v>
                </c:pt>
                <c:pt idx="681">
                  <c:v>36.616700000000762</c:v>
                </c:pt>
                <c:pt idx="682">
                  <c:v>36.616800000000765</c:v>
                </c:pt>
                <c:pt idx="683">
                  <c:v>36.616900000000769</c:v>
                </c:pt>
                <c:pt idx="684">
                  <c:v>36.617000000000772</c:v>
                </c:pt>
                <c:pt idx="685">
                  <c:v>36.617100000000775</c:v>
                </c:pt>
                <c:pt idx="686">
                  <c:v>36.617200000000778</c:v>
                </c:pt>
                <c:pt idx="687">
                  <c:v>36.617300000000782</c:v>
                </c:pt>
                <c:pt idx="688">
                  <c:v>36.617400000000785</c:v>
                </c:pt>
                <c:pt idx="689">
                  <c:v>36.617500000000788</c:v>
                </c:pt>
                <c:pt idx="690">
                  <c:v>36.617600000000792</c:v>
                </c:pt>
                <c:pt idx="691">
                  <c:v>36.617700000000795</c:v>
                </c:pt>
                <c:pt idx="692">
                  <c:v>36.617800000000798</c:v>
                </c:pt>
                <c:pt idx="693">
                  <c:v>36.617900000000802</c:v>
                </c:pt>
                <c:pt idx="694">
                  <c:v>36.618000000000805</c:v>
                </c:pt>
                <c:pt idx="695">
                  <c:v>36.618100000000808</c:v>
                </c:pt>
                <c:pt idx="696">
                  <c:v>36.618200000000812</c:v>
                </c:pt>
                <c:pt idx="697">
                  <c:v>36.618300000000815</c:v>
                </c:pt>
                <c:pt idx="698">
                  <c:v>36.618400000000818</c:v>
                </c:pt>
                <c:pt idx="699">
                  <c:v>36.618500000000822</c:v>
                </c:pt>
                <c:pt idx="700">
                  <c:v>36.618600000000825</c:v>
                </c:pt>
                <c:pt idx="701">
                  <c:v>36.618700000000828</c:v>
                </c:pt>
                <c:pt idx="702">
                  <c:v>36.618800000000832</c:v>
                </c:pt>
                <c:pt idx="703">
                  <c:v>36.618900000000835</c:v>
                </c:pt>
                <c:pt idx="704">
                  <c:v>36.619000000000838</c:v>
                </c:pt>
                <c:pt idx="705">
                  <c:v>36.619100000000842</c:v>
                </c:pt>
                <c:pt idx="706">
                  <c:v>36.619200000000845</c:v>
                </c:pt>
                <c:pt idx="707">
                  <c:v>36.619300000000848</c:v>
                </c:pt>
                <c:pt idx="708">
                  <c:v>36.619400000000851</c:v>
                </c:pt>
                <c:pt idx="709">
                  <c:v>36.619500000000855</c:v>
                </c:pt>
                <c:pt idx="710">
                  <c:v>36.619600000000858</c:v>
                </c:pt>
                <c:pt idx="711">
                  <c:v>36.619700000000861</c:v>
                </c:pt>
                <c:pt idx="712">
                  <c:v>36.619800000000865</c:v>
                </c:pt>
                <c:pt idx="713">
                  <c:v>36.619900000000868</c:v>
                </c:pt>
                <c:pt idx="714">
                  <c:v>36.620000000000871</c:v>
                </c:pt>
                <c:pt idx="715">
                  <c:v>36.620100000000875</c:v>
                </c:pt>
                <c:pt idx="716">
                  <c:v>36.620200000000878</c:v>
                </c:pt>
                <c:pt idx="717">
                  <c:v>36.620300000000881</c:v>
                </c:pt>
                <c:pt idx="718">
                  <c:v>36.620400000000885</c:v>
                </c:pt>
                <c:pt idx="719">
                  <c:v>36.620500000000888</c:v>
                </c:pt>
                <c:pt idx="720">
                  <c:v>36.620600000000891</c:v>
                </c:pt>
                <c:pt idx="721">
                  <c:v>36.620700000000895</c:v>
                </c:pt>
                <c:pt idx="722">
                  <c:v>36.620800000000898</c:v>
                </c:pt>
                <c:pt idx="723">
                  <c:v>36.620900000000901</c:v>
                </c:pt>
                <c:pt idx="724">
                  <c:v>36.621000000000905</c:v>
                </c:pt>
                <c:pt idx="725">
                  <c:v>36.621100000000908</c:v>
                </c:pt>
                <c:pt idx="726">
                  <c:v>36.621200000000911</c:v>
                </c:pt>
                <c:pt idx="727">
                  <c:v>36.621300000000915</c:v>
                </c:pt>
                <c:pt idx="728">
                  <c:v>36.621400000000918</c:v>
                </c:pt>
                <c:pt idx="729">
                  <c:v>36.621500000000921</c:v>
                </c:pt>
                <c:pt idx="730">
                  <c:v>36.621600000000925</c:v>
                </c:pt>
                <c:pt idx="731">
                  <c:v>36.621700000000928</c:v>
                </c:pt>
                <c:pt idx="732">
                  <c:v>36.621800000000931</c:v>
                </c:pt>
                <c:pt idx="733">
                  <c:v>36.621900000000934</c:v>
                </c:pt>
                <c:pt idx="734">
                  <c:v>36.622000000000938</c:v>
                </c:pt>
                <c:pt idx="735">
                  <c:v>36.622100000000941</c:v>
                </c:pt>
                <c:pt idx="736">
                  <c:v>36.622200000000944</c:v>
                </c:pt>
                <c:pt idx="737">
                  <c:v>36.622300000000948</c:v>
                </c:pt>
                <c:pt idx="738">
                  <c:v>36.622400000000951</c:v>
                </c:pt>
                <c:pt idx="739">
                  <c:v>36.622500000000954</c:v>
                </c:pt>
                <c:pt idx="740">
                  <c:v>36.622600000000958</c:v>
                </c:pt>
                <c:pt idx="741">
                  <c:v>36.622700000000961</c:v>
                </c:pt>
                <c:pt idx="742">
                  <c:v>36.622800000000964</c:v>
                </c:pt>
                <c:pt idx="743">
                  <c:v>36.622900000000968</c:v>
                </c:pt>
                <c:pt idx="744">
                  <c:v>36.623000000000971</c:v>
                </c:pt>
                <c:pt idx="745">
                  <c:v>36.623100000000974</c:v>
                </c:pt>
                <c:pt idx="746">
                  <c:v>36.623200000000978</c:v>
                </c:pt>
                <c:pt idx="747">
                  <c:v>36.623300000000981</c:v>
                </c:pt>
                <c:pt idx="748">
                  <c:v>36.623400000000984</c:v>
                </c:pt>
                <c:pt idx="749">
                  <c:v>36.623500000000988</c:v>
                </c:pt>
                <c:pt idx="750">
                  <c:v>36.623600000000991</c:v>
                </c:pt>
                <c:pt idx="751">
                  <c:v>36.623700000000994</c:v>
                </c:pt>
                <c:pt idx="752">
                  <c:v>36.623800000000998</c:v>
                </c:pt>
                <c:pt idx="753">
                  <c:v>36.623900000001001</c:v>
                </c:pt>
                <c:pt idx="754">
                  <c:v>36.624000000001004</c:v>
                </c:pt>
                <c:pt idx="755">
                  <c:v>36.624100000001008</c:v>
                </c:pt>
                <c:pt idx="756">
                  <c:v>36.624200000001011</c:v>
                </c:pt>
                <c:pt idx="757">
                  <c:v>36.624300000001014</c:v>
                </c:pt>
                <c:pt idx="758">
                  <c:v>36.624400000001017</c:v>
                </c:pt>
                <c:pt idx="759">
                  <c:v>36.624500000001021</c:v>
                </c:pt>
                <c:pt idx="760">
                  <c:v>36.624600000001024</c:v>
                </c:pt>
                <c:pt idx="761">
                  <c:v>36.624700000001027</c:v>
                </c:pt>
                <c:pt idx="762">
                  <c:v>36.624800000001031</c:v>
                </c:pt>
                <c:pt idx="763">
                  <c:v>36.624900000001034</c:v>
                </c:pt>
                <c:pt idx="764">
                  <c:v>36.625000000001037</c:v>
                </c:pt>
                <c:pt idx="765">
                  <c:v>36.625100000001041</c:v>
                </c:pt>
                <c:pt idx="766">
                  <c:v>36.625200000001044</c:v>
                </c:pt>
                <c:pt idx="767">
                  <c:v>36.625300000001047</c:v>
                </c:pt>
                <c:pt idx="768">
                  <c:v>36.625400000001051</c:v>
                </c:pt>
                <c:pt idx="769">
                  <c:v>36.625500000001054</c:v>
                </c:pt>
                <c:pt idx="770">
                  <c:v>36.625600000001057</c:v>
                </c:pt>
                <c:pt idx="771">
                  <c:v>36.625700000001061</c:v>
                </c:pt>
                <c:pt idx="772">
                  <c:v>36.625800000001064</c:v>
                </c:pt>
                <c:pt idx="773">
                  <c:v>36.625900000001067</c:v>
                </c:pt>
                <c:pt idx="774">
                  <c:v>36.626000000001071</c:v>
                </c:pt>
                <c:pt idx="775">
                  <c:v>36.626100000001074</c:v>
                </c:pt>
                <c:pt idx="776">
                  <c:v>36.626200000001077</c:v>
                </c:pt>
                <c:pt idx="777">
                  <c:v>36.626300000001081</c:v>
                </c:pt>
                <c:pt idx="778">
                  <c:v>36.626400000001084</c:v>
                </c:pt>
                <c:pt idx="779">
                  <c:v>36.626500000001087</c:v>
                </c:pt>
                <c:pt idx="780">
                  <c:v>36.626600000001091</c:v>
                </c:pt>
                <c:pt idx="781">
                  <c:v>36.626700000001094</c:v>
                </c:pt>
                <c:pt idx="782">
                  <c:v>36.626800000001097</c:v>
                </c:pt>
                <c:pt idx="783">
                  <c:v>36.6269000000011</c:v>
                </c:pt>
                <c:pt idx="784">
                  <c:v>36.627000000001104</c:v>
                </c:pt>
                <c:pt idx="785">
                  <c:v>36.627100000001107</c:v>
                </c:pt>
                <c:pt idx="786">
                  <c:v>36.62720000000111</c:v>
                </c:pt>
                <c:pt idx="787">
                  <c:v>36.627300000001114</c:v>
                </c:pt>
                <c:pt idx="788">
                  <c:v>36.627400000001117</c:v>
                </c:pt>
                <c:pt idx="789">
                  <c:v>36.62750000000112</c:v>
                </c:pt>
                <c:pt idx="790">
                  <c:v>36.627600000001124</c:v>
                </c:pt>
                <c:pt idx="791">
                  <c:v>36.627700000001127</c:v>
                </c:pt>
                <c:pt idx="792">
                  <c:v>36.62780000000113</c:v>
                </c:pt>
                <c:pt idx="793">
                  <c:v>36.627900000001134</c:v>
                </c:pt>
                <c:pt idx="794">
                  <c:v>36.628000000001137</c:v>
                </c:pt>
                <c:pt idx="795">
                  <c:v>36.62810000000114</c:v>
                </c:pt>
                <c:pt idx="796">
                  <c:v>36.628200000001144</c:v>
                </c:pt>
                <c:pt idx="797">
                  <c:v>36.628300000001147</c:v>
                </c:pt>
                <c:pt idx="798">
                  <c:v>36.62840000000115</c:v>
                </c:pt>
                <c:pt idx="799">
                  <c:v>36.628500000001154</c:v>
                </c:pt>
                <c:pt idx="800">
                  <c:v>36.628600000001157</c:v>
                </c:pt>
                <c:pt idx="801">
                  <c:v>36.62870000000116</c:v>
                </c:pt>
                <c:pt idx="802">
                  <c:v>36.628800000001164</c:v>
                </c:pt>
                <c:pt idx="803">
                  <c:v>36.628900000001167</c:v>
                </c:pt>
                <c:pt idx="804">
                  <c:v>36.62900000000117</c:v>
                </c:pt>
                <c:pt idx="805">
                  <c:v>36.629100000001173</c:v>
                </c:pt>
                <c:pt idx="806">
                  <c:v>36.629200000001177</c:v>
                </c:pt>
                <c:pt idx="807">
                  <c:v>36.62930000000118</c:v>
                </c:pt>
                <c:pt idx="808">
                  <c:v>36.629400000001183</c:v>
                </c:pt>
                <c:pt idx="809">
                  <c:v>36.629500000001187</c:v>
                </c:pt>
                <c:pt idx="810">
                  <c:v>36.62960000000119</c:v>
                </c:pt>
                <c:pt idx="811">
                  <c:v>36.629700000001193</c:v>
                </c:pt>
                <c:pt idx="812">
                  <c:v>36.629800000001197</c:v>
                </c:pt>
                <c:pt idx="813">
                  <c:v>36.6299000000012</c:v>
                </c:pt>
                <c:pt idx="814">
                  <c:v>36.630000000001203</c:v>
                </c:pt>
                <c:pt idx="815">
                  <c:v>36.630100000001207</c:v>
                </c:pt>
                <c:pt idx="816">
                  <c:v>36.63020000000121</c:v>
                </c:pt>
                <c:pt idx="817">
                  <c:v>36.630300000001213</c:v>
                </c:pt>
                <c:pt idx="818">
                  <c:v>36.630400000001217</c:v>
                </c:pt>
                <c:pt idx="819">
                  <c:v>36.63050000000122</c:v>
                </c:pt>
                <c:pt idx="820">
                  <c:v>36.630600000001223</c:v>
                </c:pt>
                <c:pt idx="821">
                  <c:v>36.630700000001227</c:v>
                </c:pt>
                <c:pt idx="822">
                  <c:v>36.63080000000123</c:v>
                </c:pt>
                <c:pt idx="823">
                  <c:v>36.630900000001233</c:v>
                </c:pt>
                <c:pt idx="824">
                  <c:v>36.631000000001237</c:v>
                </c:pt>
                <c:pt idx="825">
                  <c:v>36.63110000000124</c:v>
                </c:pt>
                <c:pt idx="826">
                  <c:v>36.631200000001243</c:v>
                </c:pt>
                <c:pt idx="827">
                  <c:v>36.631300000001247</c:v>
                </c:pt>
                <c:pt idx="828">
                  <c:v>36.63140000000125</c:v>
                </c:pt>
                <c:pt idx="829">
                  <c:v>36.631500000001253</c:v>
                </c:pt>
                <c:pt idx="830">
                  <c:v>36.631600000001256</c:v>
                </c:pt>
                <c:pt idx="831">
                  <c:v>36.63170000000126</c:v>
                </c:pt>
                <c:pt idx="832">
                  <c:v>36.631800000001263</c:v>
                </c:pt>
                <c:pt idx="833">
                  <c:v>36.631900000001266</c:v>
                </c:pt>
                <c:pt idx="834">
                  <c:v>36.63200000000127</c:v>
                </c:pt>
                <c:pt idx="835">
                  <c:v>36.632100000001273</c:v>
                </c:pt>
                <c:pt idx="836">
                  <c:v>36.632200000001276</c:v>
                </c:pt>
                <c:pt idx="837">
                  <c:v>36.63230000000128</c:v>
                </c:pt>
                <c:pt idx="838">
                  <c:v>36.632400000001283</c:v>
                </c:pt>
                <c:pt idx="839">
                  <c:v>36.632500000001286</c:v>
                </c:pt>
                <c:pt idx="840">
                  <c:v>36.63260000000129</c:v>
                </c:pt>
                <c:pt idx="841">
                  <c:v>36.632700000001293</c:v>
                </c:pt>
                <c:pt idx="842">
                  <c:v>36.632800000001296</c:v>
                </c:pt>
                <c:pt idx="843">
                  <c:v>36.6329000000013</c:v>
                </c:pt>
                <c:pt idx="844">
                  <c:v>36.633000000001303</c:v>
                </c:pt>
                <c:pt idx="845">
                  <c:v>36.633100000001306</c:v>
                </c:pt>
                <c:pt idx="846">
                  <c:v>36.63320000000131</c:v>
                </c:pt>
                <c:pt idx="847">
                  <c:v>36.633300000001313</c:v>
                </c:pt>
                <c:pt idx="848">
                  <c:v>36.633400000001316</c:v>
                </c:pt>
                <c:pt idx="849">
                  <c:v>36.63350000000132</c:v>
                </c:pt>
                <c:pt idx="850">
                  <c:v>36.633600000001323</c:v>
                </c:pt>
                <c:pt idx="851">
                  <c:v>36.633700000001326</c:v>
                </c:pt>
                <c:pt idx="852">
                  <c:v>36.63380000000133</c:v>
                </c:pt>
                <c:pt idx="853">
                  <c:v>36.633900000001333</c:v>
                </c:pt>
                <c:pt idx="854">
                  <c:v>36.634000000001336</c:v>
                </c:pt>
                <c:pt idx="855">
                  <c:v>36.634100000001339</c:v>
                </c:pt>
                <c:pt idx="856">
                  <c:v>36.634200000001343</c:v>
                </c:pt>
                <c:pt idx="857">
                  <c:v>36.634300000001346</c:v>
                </c:pt>
                <c:pt idx="858">
                  <c:v>36.634400000001349</c:v>
                </c:pt>
                <c:pt idx="859">
                  <c:v>36.634500000001353</c:v>
                </c:pt>
                <c:pt idx="860">
                  <c:v>36.634600000001356</c:v>
                </c:pt>
                <c:pt idx="861">
                  <c:v>36.634700000001359</c:v>
                </c:pt>
                <c:pt idx="862">
                  <c:v>36.634800000001363</c:v>
                </c:pt>
                <c:pt idx="863">
                  <c:v>36.634900000001366</c:v>
                </c:pt>
                <c:pt idx="864">
                  <c:v>36.635000000001369</c:v>
                </c:pt>
                <c:pt idx="865">
                  <c:v>36.635100000001373</c:v>
                </c:pt>
                <c:pt idx="866">
                  <c:v>36.635200000001376</c:v>
                </c:pt>
                <c:pt idx="867">
                  <c:v>36.635300000001379</c:v>
                </c:pt>
                <c:pt idx="868">
                  <c:v>36.635400000001383</c:v>
                </c:pt>
                <c:pt idx="869">
                  <c:v>36.635500000001386</c:v>
                </c:pt>
                <c:pt idx="870">
                  <c:v>36.635600000001389</c:v>
                </c:pt>
                <c:pt idx="871">
                  <c:v>36.635700000001393</c:v>
                </c:pt>
                <c:pt idx="872">
                  <c:v>36.635800000001396</c:v>
                </c:pt>
                <c:pt idx="873">
                  <c:v>36.635900000001399</c:v>
                </c:pt>
                <c:pt idx="874">
                  <c:v>36.636000000001403</c:v>
                </c:pt>
                <c:pt idx="875">
                  <c:v>36.636100000001406</c:v>
                </c:pt>
                <c:pt idx="876">
                  <c:v>36.636200000001409</c:v>
                </c:pt>
                <c:pt idx="877">
                  <c:v>36.636300000001413</c:v>
                </c:pt>
                <c:pt idx="878">
                  <c:v>36.636400000001416</c:v>
                </c:pt>
                <c:pt idx="879">
                  <c:v>36.636500000001419</c:v>
                </c:pt>
                <c:pt idx="880">
                  <c:v>36.636600000001422</c:v>
                </c:pt>
                <c:pt idx="881">
                  <c:v>36.636700000001426</c:v>
                </c:pt>
                <c:pt idx="882">
                  <c:v>36.636800000001429</c:v>
                </c:pt>
                <c:pt idx="883">
                  <c:v>36.636900000001432</c:v>
                </c:pt>
                <c:pt idx="884">
                  <c:v>36.637000000001436</c:v>
                </c:pt>
                <c:pt idx="885">
                  <c:v>36.637100000001439</c:v>
                </c:pt>
                <c:pt idx="886">
                  <c:v>36.637200000001442</c:v>
                </c:pt>
                <c:pt idx="887">
                  <c:v>36.637300000001446</c:v>
                </c:pt>
                <c:pt idx="888">
                  <c:v>36.637400000001449</c:v>
                </c:pt>
                <c:pt idx="889">
                  <c:v>36.637500000001452</c:v>
                </c:pt>
                <c:pt idx="890">
                  <c:v>36.637600000001456</c:v>
                </c:pt>
                <c:pt idx="891">
                  <c:v>36.637700000001459</c:v>
                </c:pt>
                <c:pt idx="892">
                  <c:v>36.637800000001462</c:v>
                </c:pt>
                <c:pt idx="893">
                  <c:v>36.637900000001466</c:v>
                </c:pt>
                <c:pt idx="894">
                  <c:v>36.638000000001469</c:v>
                </c:pt>
                <c:pt idx="895">
                  <c:v>36.638100000001472</c:v>
                </c:pt>
                <c:pt idx="896">
                  <c:v>36.638200000001476</c:v>
                </c:pt>
                <c:pt idx="897">
                  <c:v>36.638300000001479</c:v>
                </c:pt>
                <c:pt idx="898">
                  <c:v>36.638400000001482</c:v>
                </c:pt>
                <c:pt idx="899">
                  <c:v>36.638500000001486</c:v>
                </c:pt>
                <c:pt idx="900">
                  <c:v>36.638600000001489</c:v>
                </c:pt>
                <c:pt idx="901">
                  <c:v>36.638700000001492</c:v>
                </c:pt>
                <c:pt idx="902">
                  <c:v>36.638800000001496</c:v>
                </c:pt>
                <c:pt idx="903">
                  <c:v>36.638900000001499</c:v>
                </c:pt>
                <c:pt idx="904">
                  <c:v>36.639000000001502</c:v>
                </c:pt>
                <c:pt idx="905">
                  <c:v>36.639100000001505</c:v>
                </c:pt>
                <c:pt idx="906">
                  <c:v>36.639200000001509</c:v>
                </c:pt>
                <c:pt idx="907">
                  <c:v>36.639300000001512</c:v>
                </c:pt>
                <c:pt idx="908">
                  <c:v>36.639400000001515</c:v>
                </c:pt>
                <c:pt idx="909">
                  <c:v>36.639500000001519</c:v>
                </c:pt>
                <c:pt idx="910">
                  <c:v>36.639600000001522</c:v>
                </c:pt>
                <c:pt idx="911">
                  <c:v>36.639700000001525</c:v>
                </c:pt>
                <c:pt idx="912">
                  <c:v>36.639800000001529</c:v>
                </c:pt>
                <c:pt idx="913">
                  <c:v>36.639900000001532</c:v>
                </c:pt>
                <c:pt idx="914">
                  <c:v>36.640000000001535</c:v>
                </c:pt>
                <c:pt idx="915">
                  <c:v>36.640100000001539</c:v>
                </c:pt>
                <c:pt idx="916">
                  <c:v>36.640200000001542</c:v>
                </c:pt>
                <c:pt idx="917">
                  <c:v>36.640300000001545</c:v>
                </c:pt>
                <c:pt idx="918">
                  <c:v>36.640400000001549</c:v>
                </c:pt>
                <c:pt idx="919">
                  <c:v>36.640500000001552</c:v>
                </c:pt>
                <c:pt idx="920">
                  <c:v>36.640600000001555</c:v>
                </c:pt>
                <c:pt idx="921">
                  <c:v>36.640700000001559</c:v>
                </c:pt>
                <c:pt idx="922">
                  <c:v>36.640800000001562</c:v>
                </c:pt>
                <c:pt idx="923">
                  <c:v>36.640900000001565</c:v>
                </c:pt>
                <c:pt idx="924">
                  <c:v>36.641000000001569</c:v>
                </c:pt>
                <c:pt idx="925">
                  <c:v>36.641100000001572</c:v>
                </c:pt>
                <c:pt idx="926">
                  <c:v>36.641200000001575</c:v>
                </c:pt>
                <c:pt idx="927">
                  <c:v>36.641300000001578</c:v>
                </c:pt>
                <c:pt idx="928">
                  <c:v>36.641400000001582</c:v>
                </c:pt>
                <c:pt idx="929">
                  <c:v>36.641500000001585</c:v>
                </c:pt>
                <c:pt idx="930">
                  <c:v>36.641600000001588</c:v>
                </c:pt>
                <c:pt idx="931">
                  <c:v>36.641700000001592</c:v>
                </c:pt>
                <c:pt idx="932">
                  <c:v>36.641800000001595</c:v>
                </c:pt>
                <c:pt idx="933">
                  <c:v>36.641900000001598</c:v>
                </c:pt>
                <c:pt idx="934">
                  <c:v>36.642000000001602</c:v>
                </c:pt>
                <c:pt idx="935">
                  <c:v>36.642100000001605</c:v>
                </c:pt>
                <c:pt idx="936">
                  <c:v>36.642200000001608</c:v>
                </c:pt>
                <c:pt idx="937">
                  <c:v>36.642300000001612</c:v>
                </c:pt>
                <c:pt idx="938">
                  <c:v>36.642400000001615</c:v>
                </c:pt>
                <c:pt idx="939">
                  <c:v>36.642500000001618</c:v>
                </c:pt>
                <c:pt idx="940">
                  <c:v>36.642600000001622</c:v>
                </c:pt>
                <c:pt idx="941">
                  <c:v>36.642700000001625</c:v>
                </c:pt>
                <c:pt idx="942">
                  <c:v>36.642800000001628</c:v>
                </c:pt>
                <c:pt idx="943">
                  <c:v>36.642900000001632</c:v>
                </c:pt>
                <c:pt idx="944">
                  <c:v>36.643000000001635</c:v>
                </c:pt>
                <c:pt idx="945">
                  <c:v>36.643100000001638</c:v>
                </c:pt>
                <c:pt idx="946">
                  <c:v>36.643200000001642</c:v>
                </c:pt>
                <c:pt idx="947">
                  <c:v>36.643300000001645</c:v>
                </c:pt>
                <c:pt idx="948">
                  <c:v>36.643400000001648</c:v>
                </c:pt>
                <c:pt idx="949">
                  <c:v>36.643500000001652</c:v>
                </c:pt>
                <c:pt idx="950">
                  <c:v>36.643600000001655</c:v>
                </c:pt>
                <c:pt idx="951">
                  <c:v>36.643700000001658</c:v>
                </c:pt>
                <c:pt idx="952">
                  <c:v>36.643800000001661</c:v>
                </c:pt>
                <c:pt idx="953">
                  <c:v>36.643900000001665</c:v>
                </c:pt>
                <c:pt idx="954">
                  <c:v>36.644000000001668</c:v>
                </c:pt>
                <c:pt idx="955">
                  <c:v>36.644100000001671</c:v>
                </c:pt>
                <c:pt idx="956">
                  <c:v>36.644200000001675</c:v>
                </c:pt>
                <c:pt idx="957">
                  <c:v>36.644300000001678</c:v>
                </c:pt>
                <c:pt idx="958">
                  <c:v>36.644400000001681</c:v>
                </c:pt>
                <c:pt idx="959">
                  <c:v>36.644500000001685</c:v>
                </c:pt>
                <c:pt idx="960">
                  <c:v>36.644600000001688</c:v>
                </c:pt>
                <c:pt idx="961">
                  <c:v>36.644700000001691</c:v>
                </c:pt>
                <c:pt idx="962">
                  <c:v>36.644800000001695</c:v>
                </c:pt>
                <c:pt idx="963">
                  <c:v>36.644900000001698</c:v>
                </c:pt>
                <c:pt idx="964">
                  <c:v>36.645000000001701</c:v>
                </c:pt>
                <c:pt idx="965">
                  <c:v>36.645100000001705</c:v>
                </c:pt>
                <c:pt idx="966">
                  <c:v>36.645200000001708</c:v>
                </c:pt>
                <c:pt idx="967">
                  <c:v>36.645300000001711</c:v>
                </c:pt>
                <c:pt idx="968">
                  <c:v>36.645400000001715</c:v>
                </c:pt>
                <c:pt idx="969">
                  <c:v>36.645500000001718</c:v>
                </c:pt>
                <c:pt idx="970">
                  <c:v>36.645600000001721</c:v>
                </c:pt>
                <c:pt idx="971">
                  <c:v>36.645700000001725</c:v>
                </c:pt>
                <c:pt idx="972">
                  <c:v>36.645800000001728</c:v>
                </c:pt>
                <c:pt idx="973">
                  <c:v>36.645900000001731</c:v>
                </c:pt>
                <c:pt idx="974">
                  <c:v>36.646000000001735</c:v>
                </c:pt>
                <c:pt idx="975">
                  <c:v>36.646100000001738</c:v>
                </c:pt>
                <c:pt idx="976">
                  <c:v>36.646200000001741</c:v>
                </c:pt>
                <c:pt idx="977">
                  <c:v>36.646300000001744</c:v>
                </c:pt>
                <c:pt idx="978">
                  <c:v>36.646400000001748</c:v>
                </c:pt>
                <c:pt idx="979">
                  <c:v>36.646500000001751</c:v>
                </c:pt>
                <c:pt idx="980">
                  <c:v>36.646600000001754</c:v>
                </c:pt>
                <c:pt idx="981">
                  <c:v>36.646700000001758</c:v>
                </c:pt>
                <c:pt idx="982">
                  <c:v>36.646800000001761</c:v>
                </c:pt>
                <c:pt idx="983">
                  <c:v>36.646900000001764</c:v>
                </c:pt>
                <c:pt idx="984">
                  <c:v>36.647000000001768</c:v>
                </c:pt>
                <c:pt idx="985">
                  <c:v>36.647100000001771</c:v>
                </c:pt>
                <c:pt idx="986">
                  <c:v>36.647200000001774</c:v>
                </c:pt>
                <c:pt idx="987">
                  <c:v>36.647300000001778</c:v>
                </c:pt>
                <c:pt idx="988">
                  <c:v>36.647400000001781</c:v>
                </c:pt>
                <c:pt idx="989">
                  <c:v>36.647500000001784</c:v>
                </c:pt>
                <c:pt idx="990">
                  <c:v>36.647600000001788</c:v>
                </c:pt>
                <c:pt idx="991">
                  <c:v>36.647700000001791</c:v>
                </c:pt>
                <c:pt idx="992">
                  <c:v>36.647800000001794</c:v>
                </c:pt>
                <c:pt idx="993">
                  <c:v>36.647900000001798</c:v>
                </c:pt>
                <c:pt idx="994">
                  <c:v>36.648000000001801</c:v>
                </c:pt>
                <c:pt idx="995">
                  <c:v>36.648100000001804</c:v>
                </c:pt>
                <c:pt idx="996">
                  <c:v>36.648200000001808</c:v>
                </c:pt>
                <c:pt idx="997">
                  <c:v>36.648300000001811</c:v>
                </c:pt>
                <c:pt idx="998">
                  <c:v>36.648400000001814</c:v>
                </c:pt>
                <c:pt idx="999">
                  <c:v>36.648500000001818</c:v>
                </c:pt>
                <c:pt idx="1000">
                  <c:v>36.648600000001821</c:v>
                </c:pt>
              </c:numCache>
            </c:numRef>
          </c:xVal>
          <c:yVal>
            <c:numRef>
              <c:f>Calculs!$K$4:$K$1004</c:f>
              <c:numCache>
                <c:formatCode>0.00</c:formatCode>
                <c:ptCount val="1001"/>
                <c:pt idx="0">
                  <c:v>497.16938386972515</c:v>
                </c:pt>
                <c:pt idx="1">
                  <c:v>498.89571863685381</c:v>
                </c:pt>
                <c:pt idx="2">
                  <c:v>500.62286602706746</c:v>
                </c:pt>
                <c:pt idx="3">
                  <c:v>502.35397500412506</c:v>
                </c:pt>
                <c:pt idx="4">
                  <c:v>504.0896126384792</c:v>
                </c:pt>
                <c:pt idx="5">
                  <c:v>505.82922692069394</c:v>
                </c:pt>
                <c:pt idx="6">
                  <c:v>507.57260713217528</c:v>
                </c:pt>
                <c:pt idx="7">
                  <c:v>509.31971309683456</c:v>
                </c:pt>
                <c:pt idx="8">
                  <c:v>511.0705047042224</c:v>
                </c:pt>
                <c:pt idx="9">
                  <c:v>512.82494191034959</c:v>
                </c:pt>
                <c:pt idx="10">
                  <c:v>514.58298473849538</c:v>
                </c:pt>
                <c:pt idx="11">
                  <c:v>516.34459328000275</c:v>
                </c:pt>
                <c:pt idx="12">
                  <c:v>518.109727695061</c:v>
                </c:pt>
                <c:pt idx="13">
                  <c:v>519.87834821347565</c:v>
                </c:pt>
                <c:pt idx="14">
                  <c:v>521.65041513542531</c:v>
                </c:pt>
                <c:pt idx="15">
                  <c:v>523.4258888322064</c:v>
                </c:pt>
                <c:pt idx="16">
                  <c:v>525.20472974696497</c:v>
                </c:pt>
                <c:pt idx="17">
                  <c:v>526.98689839541555</c:v>
                </c:pt>
                <c:pt idx="18">
                  <c:v>528.77235536654837</c:v>
                </c:pt>
                <c:pt idx="19">
                  <c:v>530.56106132332297</c:v>
                </c:pt>
                <c:pt idx="20">
                  <c:v>532.35297700335036</c:v>
                </c:pt>
                <c:pt idx="21">
                  <c:v>534.14806321956223</c:v>
                </c:pt>
                <c:pt idx="22">
                  <c:v>535.94628086086789</c:v>
                </c:pt>
                <c:pt idx="23">
                  <c:v>537.74759089279883</c:v>
                </c:pt>
                <c:pt idx="24">
                  <c:v>539.5519543581413</c:v>
                </c:pt>
                <c:pt idx="25">
                  <c:v>541.35933237755637</c:v>
                </c:pt>
                <c:pt idx="26">
                  <c:v>543.16968615018823</c:v>
                </c:pt>
                <c:pt idx="27">
                  <c:v>544.98297695425981</c:v>
                </c:pt>
                <c:pt idx="28">
                  <c:v>546.79916614765705</c:v>
                </c:pt>
                <c:pt idx="29">
                  <c:v>548.61821516850068</c:v>
                </c:pt>
                <c:pt idx="30">
                  <c:v>550.44008553570643</c:v>
                </c:pt>
                <c:pt idx="31">
                  <c:v>552.26473884953316</c:v>
                </c:pt>
                <c:pt idx="32">
                  <c:v>554.09213679211916</c:v>
                </c:pt>
                <c:pt idx="33">
                  <c:v>555.92224112800693</c:v>
                </c:pt>
                <c:pt idx="34">
                  <c:v>557.75501370465633</c:v>
                </c:pt>
                <c:pt idx="35">
                  <c:v>559.59041645294565</c:v>
                </c:pt>
                <c:pt idx="36">
                  <c:v>561.42841138766175</c:v>
                </c:pt>
                <c:pt idx="37">
                  <c:v>563.26896060797856</c:v>
                </c:pt>
                <c:pt idx="38">
                  <c:v>565.11202629792365</c:v>
                </c:pt>
                <c:pt idx="39">
                  <c:v>566.95757072683443</c:v>
                </c:pt>
                <c:pt idx="40">
                  <c:v>568.80555624980207</c:v>
                </c:pt>
                <c:pt idx="41">
                  <c:v>570.65594530810483</c:v>
                </c:pt>
                <c:pt idx="42">
                  <c:v>572.50870042963038</c:v>
                </c:pt>
                <c:pt idx="43">
                  <c:v>574.36378422928669</c:v>
                </c:pt>
                <c:pt idx="44">
                  <c:v>576.22115940940182</c:v>
                </c:pt>
                <c:pt idx="45">
                  <c:v>578.08078876011325</c:v>
                </c:pt>
                <c:pt idx="46">
                  <c:v>579.94263515974637</c:v>
                </c:pt>
                <c:pt idx="47">
                  <c:v>581.80666157518158</c:v>
                </c:pt>
                <c:pt idx="48">
                  <c:v>583.67283106221134</c:v>
                </c:pt>
                <c:pt idx="49">
                  <c:v>585.54110676588652</c:v>
                </c:pt>
                <c:pt idx="50">
                  <c:v>587.41145192085196</c:v>
                </c:pt>
                <c:pt idx="51">
                  <c:v>589.28382985167161</c:v>
                </c:pt>
                <c:pt idx="52">
                  <c:v>591.15820397314349</c:v>
                </c:pt>
                <c:pt idx="53">
                  <c:v>593.03453779060419</c:v>
                </c:pt>
                <c:pt idx="54">
                  <c:v>594.91279490022328</c:v>
                </c:pt>
                <c:pt idx="55">
                  <c:v>596.79293898928722</c:v>
                </c:pt>
                <c:pt idx="56">
                  <c:v>598.67493383647388</c:v>
                </c:pt>
                <c:pt idx="57">
                  <c:v>600.55874331211612</c:v>
                </c:pt>
                <c:pt idx="58">
                  <c:v>602.44433137845647</c:v>
                </c:pt>
                <c:pt idx="59">
                  <c:v>604.33166208989121</c:v>
                </c:pt>
                <c:pt idx="60">
                  <c:v>606.22069959320504</c:v>
                </c:pt>
                <c:pt idx="61">
                  <c:v>608.11140812779593</c:v>
                </c:pt>
                <c:pt idx="62">
                  <c:v>610.00375202589078</c:v>
                </c:pt>
                <c:pt idx="63">
                  <c:v>611.89768087486266</c:v>
                </c:pt>
                <c:pt idx="64">
                  <c:v>613.79311471546873</c:v>
                </c:pt>
                <c:pt idx="65">
                  <c:v>615.68995896065621</c:v>
                </c:pt>
                <c:pt idx="66">
                  <c:v>617.58811927899751</c:v>
                </c:pt>
                <c:pt idx="67">
                  <c:v>619.48748799290047</c:v>
                </c:pt>
                <c:pt idx="68">
                  <c:v>621.38793051129596</c:v>
                </c:pt>
                <c:pt idx="69">
                  <c:v>623.28927481555581</c:v>
                </c:pt>
                <c:pt idx="70">
                  <c:v>625.19130097568188</c:v>
                </c:pt>
                <c:pt idx="71">
                  <c:v>627.09376548942146</c:v>
                </c:pt>
                <c:pt idx="72">
                  <c:v>628.99642555996002</c:v>
                </c:pt>
                <c:pt idx="73">
                  <c:v>630.89903910368525</c:v>
                </c:pt>
                <c:pt idx="74">
                  <c:v>632.80136475756046</c:v>
                </c:pt>
                <c:pt idx="75">
                  <c:v>634.70316188611059</c:v>
                </c:pt>
                <c:pt idx="76">
                  <c:v>636.60419058802518</c:v>
                </c:pt>
                <c:pt idx="77">
                  <c:v>638.50421170238076</c:v>
                </c:pt>
                <c:pt idx="78">
                  <c:v>640.40298681448792</c:v>
                </c:pt>
                <c:pt idx="79">
                  <c:v>642.30027826136597</c:v>
                </c:pt>
                <c:pt idx="80">
                  <c:v>644.1958491368498</c:v>
                </c:pt>
                <c:pt idx="81">
                  <c:v>646.08949207993192</c:v>
                </c:pt>
                <c:pt idx="82">
                  <c:v>647.98105796915502</c:v>
                </c:pt>
                <c:pt idx="83">
                  <c:v>649.87042694992761</c:v>
                </c:pt>
                <c:pt idx="84">
                  <c:v>651.75747955317843</c:v>
                </c:pt>
                <c:pt idx="85">
                  <c:v>653.64209669501372</c:v>
                </c:pt>
                <c:pt idx="86">
                  <c:v>655.52415967629292</c:v>
                </c:pt>
                <c:pt idx="87">
                  <c:v>657.40355018212347</c:v>
                </c:pt>
                <c:pt idx="88">
                  <c:v>659.28015028127641</c:v>
                </c:pt>
                <c:pt idx="89">
                  <c:v>661.1538515192068</c:v>
                </c:pt>
                <c:pt idx="90">
                  <c:v>663.02456398013078</c:v>
                </c:pt>
                <c:pt idx="91">
                  <c:v>664.89220713015084</c:v>
                </c:pt>
                <c:pt idx="92">
                  <c:v>666.7567006911047</c:v>
                </c:pt>
                <c:pt idx="93">
                  <c:v>668.61796691311338</c:v>
                </c:pt>
                <c:pt idx="94">
                  <c:v>670.47593283928597</c:v>
                </c:pt>
                <c:pt idx="95">
                  <c:v>672.33052801527538</c:v>
                </c:pt>
                <c:pt idx="96">
                  <c:v>674.18168220664199</c:v>
                </c:pt>
                <c:pt idx="97">
                  <c:v>676.02933449238003</c:v>
                </c:pt>
                <c:pt idx="98">
                  <c:v>677.87344232687974</c:v>
                </c:pt>
                <c:pt idx="99">
                  <c:v>679.71397238116106</c:v>
                </c:pt>
                <c:pt idx="100">
                  <c:v>681.5508914158836</c:v>
                </c:pt>
                <c:pt idx="101">
                  <c:v>683.38416628063533</c:v>
                </c:pt>
                <c:pt idx="102">
                  <c:v>685.21376391321951</c:v>
                </c:pt>
                <c:pt idx="103">
                  <c:v>687.03965133894042</c:v>
                </c:pt>
                <c:pt idx="104">
                  <c:v>688.86179566988733</c:v>
                </c:pt>
                <c:pt idx="105">
                  <c:v>690.68016410421751</c:v>
                </c:pt>
                <c:pt idx="106">
                  <c:v>692.49472392543805</c:v>
                </c:pt>
                <c:pt idx="107">
                  <c:v>694.30544250168589</c:v>
                </c:pt>
                <c:pt idx="108">
                  <c:v>696.11228728500714</c:v>
                </c:pt>
                <c:pt idx="109">
                  <c:v>697.91523717679945</c:v>
                </c:pt>
                <c:pt idx="110">
                  <c:v>699.7142938537495</c:v>
                </c:pt>
                <c:pt idx="111">
                  <c:v>701.50947032298427</c:v>
                </c:pt>
                <c:pt idx="112">
                  <c:v>703.30077951737087</c:v>
                </c:pt>
                <c:pt idx="113">
                  <c:v>705.0882342960798</c:v>
                </c:pt>
                <c:pt idx="114">
                  <c:v>706.87184744514286</c:v>
                </c:pt>
                <c:pt idx="115">
                  <c:v>708.65163167800574</c:v>
                </c:pt>
                <c:pt idx="116">
                  <c:v>710.42759963607534</c:v>
                </c:pt>
                <c:pt idx="117">
                  <c:v>712.19976388926204</c:v>
                </c:pt>
                <c:pt idx="118">
                  <c:v>713.96813693651632</c:v>
                </c:pt>
                <c:pt idx="119">
                  <c:v>715.73273120636122</c:v>
                </c:pt>
                <c:pt idx="120">
                  <c:v>717.49355905741902</c:v>
                </c:pt>
                <c:pt idx="121">
                  <c:v>719.2506327789331</c:v>
                </c:pt>
                <c:pt idx="122">
                  <c:v>721.00396459128535</c:v>
                </c:pt>
                <c:pt idx="123">
                  <c:v>722.75356664650815</c:v>
                </c:pt>
                <c:pt idx="124">
                  <c:v>724.49945102879201</c:v>
                </c:pt>
                <c:pt idx="125">
                  <c:v>726.24162975498814</c:v>
                </c:pt>
                <c:pt idx="126">
                  <c:v>727.98011477510659</c:v>
                </c:pt>
                <c:pt idx="127">
                  <c:v>729.71491797280953</c:v>
                </c:pt>
                <c:pt idx="128">
                  <c:v>731.44605116590037</c:v>
                </c:pt>
                <c:pt idx="129">
                  <c:v>733.1735261068078</c:v>
                </c:pt>
                <c:pt idx="130">
                  <c:v>734.89735448306567</c:v>
                </c:pt>
                <c:pt idx="131">
                  <c:v>736.61754791778844</c:v>
                </c:pt>
                <c:pt idx="132">
                  <c:v>738.3341179701423</c:v>
                </c:pt>
                <c:pt idx="133">
                  <c:v>740.04707613581149</c:v>
                </c:pt>
                <c:pt idx="134">
                  <c:v>741.75643384746127</c:v>
                </c:pt>
                <c:pt idx="135">
                  <c:v>743.46220247519568</c:v>
                </c:pt>
                <c:pt idx="136">
                  <c:v>745.16439332701157</c:v>
                </c:pt>
                <c:pt idx="137">
                  <c:v>746.86301764924883</c:v>
                </c:pt>
                <c:pt idx="138">
                  <c:v>748.55808662703555</c:v>
                </c:pt>
                <c:pt idx="139">
                  <c:v>750.24961138473031</c:v>
                </c:pt>
                <c:pt idx="140">
                  <c:v>751.93760298635937</c:v>
                </c:pt>
                <c:pt idx="141">
                  <c:v>753.62207243605087</c:v>
                </c:pt>
                <c:pt idx="142">
                  <c:v>755.30303067846421</c:v>
                </c:pt>
                <c:pt idx="143">
                  <c:v>756.9804885992163</c:v>
                </c:pt>
                <c:pt idx="144">
                  <c:v>758.6544570253036</c:v>
                </c:pt>
                <c:pt idx="145">
                  <c:v>760.32494672552025</c:v>
                </c:pt>
                <c:pt idx="146">
                  <c:v>761.9919684108728</c:v>
                </c:pt>
                <c:pt idx="147">
                  <c:v>763.65553273499086</c:v>
                </c:pt>
                <c:pt idx="148">
                  <c:v>765.31565029453463</c:v>
                </c:pt>
                <c:pt idx="149">
                  <c:v>766.9723316295981</c:v>
                </c:pt>
                <c:pt idx="150">
                  <c:v>768.62558722410893</c:v>
                </c:pt>
                <c:pt idx="151">
                  <c:v>770.27542750622513</c:v>
                </c:pt>
                <c:pt idx="152">
                  <c:v>771.92186284872776</c:v>
                </c:pt>
                <c:pt idx="153">
                  <c:v>773.56490356941026</c:v>
                </c:pt>
                <c:pt idx="154">
                  <c:v>775.20455993146459</c:v>
                </c:pt>
                <c:pt idx="155">
                  <c:v>776.84084214386348</c:v>
                </c:pt>
                <c:pt idx="156">
                  <c:v>778.47376036173966</c:v>
                </c:pt>
                <c:pt idx="157">
                  <c:v>780.10332468676199</c:v>
                </c:pt>
                <c:pt idx="158">
                  <c:v>781.72954516750758</c:v>
                </c:pt>
                <c:pt idx="159">
                  <c:v>783.35243179983115</c:v>
                </c:pt>
                <c:pt idx="160">
                  <c:v>784.97199452723135</c:v>
                </c:pt>
                <c:pt idx="161">
                  <c:v>786.58824324121304</c:v>
                </c:pt>
                <c:pt idx="162">
                  <c:v>788.2011877816476</c:v>
                </c:pt>
                <c:pt idx="163">
                  <c:v>789.81083793712889</c:v>
                </c:pt>
                <c:pt idx="164">
                  <c:v>791.417203445327</c:v>
                </c:pt>
                <c:pt idx="165">
                  <c:v>793.02029399333867</c:v>
                </c:pt>
                <c:pt idx="166">
                  <c:v>794.62011921803446</c:v>
                </c:pt>
                <c:pt idx="167">
                  <c:v>796.21668870640315</c:v>
                </c:pt>
                <c:pt idx="168">
                  <c:v>797.81001199589298</c:v>
                </c:pt>
                <c:pt idx="169">
                  <c:v>799.40009857475036</c:v>
                </c:pt>
                <c:pt idx="170">
                  <c:v>800.98695788235523</c:v>
                </c:pt>
                <c:pt idx="171">
                  <c:v>802.57059930955359</c:v>
                </c:pt>
                <c:pt idx="172">
                  <c:v>804.15103219898754</c:v>
                </c:pt>
                <c:pt idx="173">
                  <c:v>805.7282658454219</c:v>
                </c:pt>
                <c:pt idx="174">
                  <c:v>807.3023094960688</c:v>
                </c:pt>
                <c:pt idx="175">
                  <c:v>808.8731723509087</c:v>
                </c:pt>
                <c:pt idx="176">
                  <c:v>810.44086356300943</c:v>
                </c:pt>
                <c:pt idx="177">
                  <c:v>812.00539223884175</c:v>
                </c:pt>
                <c:pt idx="178">
                  <c:v>813.56676743859316</c:v>
                </c:pt>
                <c:pt idx="179">
                  <c:v>815.12499817647802</c:v>
                </c:pt>
                <c:pt idx="180">
                  <c:v>816.68009342104597</c:v>
                </c:pt>
                <c:pt idx="181">
                  <c:v>818.23206209548709</c:v>
                </c:pt>
                <c:pt idx="182">
                  <c:v>819.78091307793477</c:v>
                </c:pt>
                <c:pt idx="183">
                  <c:v>821.32665520176624</c:v>
                </c:pt>
                <c:pt idx="184">
                  <c:v>822.86929725590016</c:v>
                </c:pt>
                <c:pt idx="185">
                  <c:v>824.40884798509182</c:v>
                </c:pt>
                <c:pt idx="186">
                  <c:v>825.94531609022613</c:v>
                </c:pt>
                <c:pt idx="187">
                  <c:v>827.47871022860784</c:v>
                </c:pt>
                <c:pt idx="188">
                  <c:v>829.00903901424977</c:v>
                </c:pt>
                <c:pt idx="189">
                  <c:v>830.53631101815802</c:v>
                </c:pt>
                <c:pt idx="190">
                  <c:v>832.0605347686153</c:v>
                </c:pt>
                <c:pt idx="191">
                  <c:v>833.58171875146195</c:v>
                </c:pt>
                <c:pt idx="192">
                  <c:v>835.09987141037402</c:v>
                </c:pt>
                <c:pt idx="193">
                  <c:v>836.61500114713988</c:v>
                </c:pt>
                <c:pt idx="194">
                  <c:v>838.12711632193384</c:v>
                </c:pt>
                <c:pt idx="195">
                  <c:v>839.63622525358812</c:v>
                </c:pt>
                <c:pt idx="196">
                  <c:v>841.14233621986205</c:v>
                </c:pt>
                <c:pt idx="197">
                  <c:v>842.64545745770943</c:v>
                </c:pt>
                <c:pt idx="198">
                  <c:v>844.14559716354347</c:v>
                </c:pt>
                <c:pt idx="199">
                  <c:v>845.64276349349961</c:v>
                </c:pt>
                <c:pt idx="200">
                  <c:v>847.13696456369655</c:v>
                </c:pt>
                <c:pt idx="201">
                  <c:v>861.91651145098501</c:v>
                </c:pt>
                <c:pt idx="202">
                  <c:v>876.40471072443597</c:v>
                </c:pt>
                <c:pt idx="203">
                  <c:v>890.60930823471767</c:v>
                </c:pt>
                <c:pt idx="204">
                  <c:v>904.53768176716221</c:v>
                </c:pt>
                <c:pt idx="205">
                  <c:v>918.19686378102733</c:v>
                </c:pt>
                <c:pt idx="206">
                  <c:v>931.59356239756562</c:v>
                </c:pt>
                <c:pt idx="207">
                  <c:v>944.73418079687815</c:v>
                </c:pt>
                <c:pt idx="208">
                  <c:v>957.62483516666873</c:v>
                </c:pt>
                <c:pt idx="209">
                  <c:v>970.27137133116059</c:v>
                </c:pt>
                <c:pt idx="210">
                  <c:v>982.67938017532163</c:v>
                </c:pt>
                <c:pt idx="211">
                  <c:v>994.85421196794755</c:v>
                </c:pt>
                <c:pt idx="212">
                  <c:v>1006.8009896768708</c:v>
                </c:pt>
                <c:pt idx="213">
                  <c:v>1018.5246213604394</c:v>
                </c:pt>
                <c:pt idx="214">
                  <c:v>1030.0298117112916</c:v>
                </c:pt>
                <c:pt idx="215">
                  <c:v>1041.3210728212212</c:v>
                </c:pt>
                <c:pt idx="216">
                  <c:v>1052.4027342294735</c:v>
                </c:pt>
                <c:pt idx="217">
                  <c:v>1063.2789523110446</c:v>
                </c:pt>
                <c:pt idx="218">
                  <c:v>1073.9537190563881</c:v>
                </c:pt>
                <c:pt idx="219">
                  <c:v>1084.4308702893049</c:v>
                </c:pt>
                <c:pt idx="220">
                  <c:v>1094.7140933656283</c:v>
                </c:pt>
                <c:pt idx="221">
                  <c:v>1104.8069343915781</c:v>
                </c:pt>
                <c:pt idx="222">
                  <c:v>1114.7128049972871</c:v>
                </c:pt>
                <c:pt idx="223">
                  <c:v>1124.4349886979628</c:v>
                </c:pt>
                <c:pt idx="224">
                  <c:v>1133.9766468724047</c:v>
                </c:pt>
                <c:pt idx="225">
                  <c:v>1143.3408243861154</c:v>
                </c:pt>
                <c:pt idx="226">
                  <c:v>1152.5304548839938</c:v>
                </c:pt>
                <c:pt idx="227">
                  <c:v>1161.5483657755656</c:v>
                </c:pt>
                <c:pt idx="228">
                  <c:v>1170.3972829338527</c:v>
                </c:pt>
                <c:pt idx="229">
                  <c:v>1179.0798351273077</c:v>
                </c:pt>
                <c:pt idx="230">
                  <c:v>1187.5985582027042</c:v>
                </c:pt>
                <c:pt idx="231">
                  <c:v>1195.9558990354885</c:v>
                </c:pt>
                <c:pt idx="232">
                  <c:v>1204.1542192628228</c:v>
                </c:pt>
                <c:pt idx="233">
                  <c:v>1212.1957988133934</c:v>
                </c:pt>
                <c:pt idx="234">
                  <c:v>1220.0828392469994</c:v>
                </c:pt>
                <c:pt idx="235">
                  <c:v>1227.8174669159669</c:v>
                </c:pt>
                <c:pt idx="236">
                  <c:v>1235.4017359595475</c:v>
                </c:pt>
                <c:pt idx="237">
                  <c:v>1242.8376311416487</c:v>
                </c:pt>
                <c:pt idx="238">
                  <c:v>1250.1270705414959</c:v>
                </c:pt>
                <c:pt idx="239">
                  <c:v>1257.2719081061441</c:v>
                </c:pt>
                <c:pt idx="240">
                  <c:v>1264.2739360731264</c:v>
                </c:pt>
                <c:pt idx="241">
                  <c:v>1271.1348872709498</c:v>
                </c:pt>
                <c:pt idx="242">
                  <c:v>1277.8564373046145</c:v>
                </c:pt>
                <c:pt idx="243">
                  <c:v>1284.4402066328453</c:v>
                </c:pt>
                <c:pt idx="244">
                  <c:v>1290.8877625432706</c:v>
                </c:pt>
                <c:pt idx="245">
                  <c:v>1297.2006210313668</c:v>
                </c:pt>
                <c:pt idx="246">
                  <c:v>1303.3802485886022</c:v>
                </c:pt>
                <c:pt idx="247">
                  <c:v>1309.4280639048604</c:v>
                </c:pt>
                <c:pt idx="248">
                  <c:v>1315.3454394898936</c:v>
                </c:pt>
                <c:pt idx="249">
                  <c:v>1321.1337032182519</c:v>
                </c:pt>
                <c:pt idx="250">
                  <c:v>1326.7941398018568</c:v>
                </c:pt>
                <c:pt idx="251">
                  <c:v>1332.3279921941271</c:v>
                </c:pt>
                <c:pt idx="252">
                  <c:v>1337.7364629293234</c:v>
                </c:pt>
                <c:pt idx="253">
                  <c:v>1343.020715400557</c:v>
                </c:pt>
                <c:pt idx="254">
                  <c:v>1348.1818750797065</c:v>
                </c:pt>
                <c:pt idx="255">
                  <c:v>1353.2210306822901</c:v>
                </c:pt>
                <c:pt idx="256">
                  <c:v>1358.1392352801724</c:v>
                </c:pt>
                <c:pt idx="257">
                  <c:v>1362.9375073648184</c:v>
                </c:pt>
                <c:pt idx="258">
                  <c:v>1367.6168318636637</c:v>
                </c:pt>
                <c:pt idx="259">
                  <c:v>1372.1781611120282</c:v>
                </c:pt>
                <c:pt idx="260">
                  <c:v>1376.6224157828801</c:v>
                </c:pt>
                <c:pt idx="261">
                  <c:v>1380.9504857766406</c:v>
                </c:pt>
                <c:pt idx="262">
                  <c:v>1385.1632310731152</c:v>
                </c:pt>
                <c:pt idx="263">
                  <c:v>1389.2614825475503</c:v>
                </c:pt>
                <c:pt idx="264">
                  <c:v>1393.2460427527217</c:v>
                </c:pt>
                <c:pt idx="265">
                  <c:v>1397.1176866688968</c:v>
                </c:pt>
                <c:pt idx="266">
                  <c:v>1400.8771624234441</c:v>
                </c:pt>
                <c:pt idx="267">
                  <c:v>1404.5251919818138</c:v>
                </c:pt>
                <c:pt idx="268">
                  <c:v>1408.0624718115669</c:v>
                </c:pt>
                <c:pt idx="269">
                  <c:v>1411.4896735211021</c:v>
                </c:pt>
                <c:pt idx="270">
                  <c:v>1414.8074444747053</c:v>
                </c:pt>
                <c:pt idx="271">
                  <c:v>1418.0164083855402</c:v>
                </c:pt>
                <c:pt idx="272">
                  <c:v>1421.1171658881976</c:v>
                </c:pt>
                <c:pt idx="273">
                  <c:v>1424.1102950924433</c:v>
                </c:pt>
                <c:pt idx="274">
                  <c:v>1426.9963521198263</c:v>
                </c:pt>
                <c:pt idx="275">
                  <c:v>1429.775871624867</c:v>
                </c:pt>
                <c:pt idx="276">
                  <c:v>1432.4493673025966</c:v>
                </c:pt>
                <c:pt idx="277">
                  <c:v>1435.0173323843062</c:v>
                </c:pt>
                <c:pt idx="278">
                  <c:v>1437.480240123466</c:v>
                </c:pt>
                <c:pt idx="279">
                  <c:v>1439.8385442738902</c:v>
                </c:pt>
                <c:pt idx="280">
                  <c:v>1442.0926795623748</c:v>
                </c:pt>
                <c:pt idx="281">
                  <c:v>1444.2430621581937</c:v>
                </c:pt>
                <c:pt idx="282">
                  <c:v>1446.2900901420362</c:v>
                </c:pt>
                <c:pt idx="283">
                  <c:v>1448.2341439771728</c:v>
                </c:pt>
                <c:pt idx="284">
                  <c:v>1450.0755869858763</c:v>
                </c:pt>
                <c:pt idx="285">
                  <c:v>1451.8147658343685</c:v>
                </c:pt>
                <c:pt idx="286">
                  <c:v>1453.4520110298265</c:v>
                </c:pt>
                <c:pt idx="287">
                  <c:v>1454.9876374332403</c:v>
                </c:pt>
                <c:pt idx="288">
                  <c:v>1456.4219447921628</c:v>
                </c:pt>
                <c:pt idx="289">
                  <c:v>1457.7552182976133</c:v>
                </c:pt>
                <c:pt idx="290">
                  <c:v>1458.9877291695527</c:v>
                </c:pt>
                <c:pt idx="291">
                  <c:v>1460.119735275435</c:v>
                </c:pt>
                <c:pt idx="292">
                  <c:v>1461.1514817862901</c:v>
                </c:pt>
                <c:pt idx="293">
                  <c:v>1462.083201874603</c:v>
                </c:pt>
                <c:pt idx="294">
                  <c:v>1462.9151174578424</c:v>
                </c:pt>
                <c:pt idx="295">
                  <c:v>1463.6474399908566</c:v>
                </c:pt>
                <c:pt idx="296">
                  <c:v>1464.2803713094268</c:v>
                </c:pt>
                <c:pt idx="297">
                  <c:v>1464.8141045260568</c:v>
                </c:pt>
                <c:pt idx="298">
                  <c:v>1465.2488249775708</c:v>
                </c:pt>
                <c:pt idx="299">
                  <c:v>1465.5847112223169</c:v>
                </c:pt>
                <c:pt idx="300">
                  <c:v>1465.8219360828161</c:v>
                </c:pt>
                <c:pt idx="301">
                  <c:v>1465.9606677276442</c:v>
                </c:pt>
                <c:pt idx="302">
                  <c:v>1466.0010707843194</c:v>
                </c:pt>
                <c:pt idx="303">
                  <c:v>1465.9433074731642</c:v>
                </c:pt>
                <c:pt idx="304">
                  <c:v>1465.7875387506494</c:v>
                </c:pt>
                <c:pt idx="305">
                  <c:v>1465.5339254497608</c:v>
                </c:pt>
                <c:pt idx="306">
                  <c:v>1465.182629404547</c:v>
                </c:pt>
                <c:pt idx="307">
                  <c:v>1464.7338145462566</c:v>
                </c:pt>
                <c:pt idx="308">
                  <c:v>1464.1876479593079</c:v>
                </c:pt>
                <c:pt idx="309">
                  <c:v>1463.5443008867126</c:v>
                </c:pt>
                <c:pt idx="310">
                  <c:v>1462.8039496763211</c:v>
                </c:pt>
                <c:pt idx="311">
                  <c:v>1461.9667766612552</c:v>
                </c:pt>
                <c:pt idx="312">
                  <c:v>1461.0329709699633</c:v>
                </c:pt>
                <c:pt idx="313">
                  <c:v>1460.0027292633401</c:v>
                </c:pt>
                <c:pt idx="314">
                  <c:v>1458.8762563981816</c:v>
                </c:pt>
                <c:pt idx="315">
                  <c:v>1457.6537660178192</c:v>
                </c:pt>
                <c:pt idx="316">
                  <c:v>1456.3354810720582</c:v>
                </c:pt>
                <c:pt idx="317">
                  <c:v>1454.9216342695106</c:v>
                </c:pt>
                <c:pt idx="318">
                  <c:v>1453.4124684661058</c:v>
                </c:pt>
                <c:pt idx="319">
                  <c:v>1451.8082369939816</c:v>
                </c:pt>
                <c:pt idx="320">
                  <c:v>1450.1092039351695</c:v>
                </c:pt>
                <c:pt idx="321">
                  <c:v>1448.3156443445296</c:v>
                </c:pt>
                <c:pt idx="322">
                  <c:v>1446.4278444262925</c:v>
                </c:pt>
                <c:pt idx="323">
                  <c:v>1444.4461016683847</c:v>
                </c:pt>
                <c:pt idx="324">
                  <c:v>1442.370724938464</c:v>
                </c:pt>
                <c:pt idx="325">
                  <c:v>1440.202034545312</c:v>
                </c:pt>
                <c:pt idx="326">
                  <c:v>1437.9403622689326</c:v>
                </c:pt>
                <c:pt idx="327">
                  <c:v>1435.5860513624064</c:v>
                </c:pt>
                <c:pt idx="328">
                  <c:v>1433.1394565282619</c:v>
                </c:pt>
                <c:pt idx="329">
                  <c:v>1430.6009438718504</c:v>
                </c:pt>
                <c:pt idx="330">
                  <c:v>1427.9708908339576</c:v>
                </c:pt>
                <c:pt idx="331">
                  <c:v>1425.2496861046529</c:v>
                </c:pt>
                <c:pt idx="332">
                  <c:v>1422.4377295201671</c:v>
                </c:pt>
                <c:pt idx="333">
                  <c:v>1419.5354319443991</c:v>
                </c:pt>
                <c:pt idx="334">
                  <c:v>1416.5432151364894</c:v>
                </c:pt>
                <c:pt idx="335">
                  <c:v>1413.461511605745</c:v>
                </c:pt>
                <c:pt idx="336">
                  <c:v>1410.2907644550721</c:v>
                </c:pt>
                <c:pt idx="337">
                  <c:v>1407.0314272139569</c:v>
                </c:pt>
                <c:pt idx="338">
                  <c:v>1403.6839636619377</c:v>
                </c:pt>
                <c:pt idx="339">
                  <c:v>1400.2488476434173</c:v>
                </c:pt>
                <c:pt idx="340">
                  <c:v>1396.7265628745949</c:v>
                </c:pt>
                <c:pt idx="341">
                  <c:v>1393.1176027432225</c:v>
                </c:pt>
                <c:pt idx="342">
                  <c:v>1389.4224701018388</c:v>
                </c:pt>
                <c:pt idx="343">
                  <c:v>1385.6416770550761</c:v>
                </c:pt>
                <c:pt idx="344">
                  <c:v>1381.7757447415947</c:v>
                </c:pt>
                <c:pt idx="345">
                  <c:v>1377.8252031111583</c:v>
                </c:pt>
                <c:pt idx="346">
                  <c:v>1373.7905906973285</c:v>
                </c:pt>
                <c:pt idx="347">
                  <c:v>1369.6724543862269</c:v>
                </c:pt>
                <c:pt idx="348">
                  <c:v>1365.4713491817849</c:v>
                </c:pt>
                <c:pt idx="349">
                  <c:v>1361.187837967879</c:v>
                </c:pt>
                <c:pt idx="350">
                  <c:v>1356.8224912677242</c:v>
                </c:pt>
                <c:pt idx="351">
                  <c:v>1352.3758870008837</c:v>
                </c:pt>
                <c:pt idx="352">
                  <c:v>1347.8486102382299</c:v>
                </c:pt>
                <c:pt idx="353">
                  <c:v>1343.2412529551812</c:v>
                </c:pt>
                <c:pt idx="354">
                  <c:v>1338.5544137835193</c:v>
                </c:pt>
                <c:pt idx="355">
                  <c:v>1333.7886977620844</c:v>
                </c:pt>
                <c:pt idx="356">
                  <c:v>1328.9447160866268</c:v>
                </c:pt>
                <c:pt idx="357">
                  <c:v>1324.0230858590865</c:v>
                </c:pt>
                <c:pt idx="358">
                  <c:v>1319.0244298365599</c:v>
                </c:pt>
                <c:pt idx="359">
                  <c:v>1313.9493761802044</c:v>
                </c:pt>
                <c:pt idx="360">
                  <c:v>1308.7985582043175</c:v>
                </c:pt>
                <c:pt idx="361">
                  <c:v>1303.5726141258235</c:v>
                </c:pt>
                <c:pt idx="362">
                  <c:v>1298.2721868143885</c:v>
                </c:pt>
                <c:pt idx="363">
                  <c:v>1292.8979235433762</c:v>
                </c:pt>
                <c:pt idx="364">
                  <c:v>1287.4504757418517</c:v>
                </c:pt>
                <c:pt idx="365">
                  <c:v>1281.9304987478276</c:v>
                </c:pt>
                <c:pt idx="366">
                  <c:v>1276.3386515629445</c:v>
                </c:pt>
                <c:pt idx="367">
                  <c:v>1270.6755966087658</c:v>
                </c:pt>
                <c:pt idx="368">
                  <c:v>1264.9419994848622</c:v>
                </c:pt>
                <c:pt idx="369">
                  <c:v>1259.1385287288529</c:v>
                </c:pt>
                <c:pt idx="370">
                  <c:v>1253.2658555785631</c:v>
                </c:pt>
                <c:pt idx="371">
                  <c:v>1247.3246537364528</c:v>
                </c:pt>
                <c:pt idx="372">
                  <c:v>1241.315599136459</c:v>
                </c:pt>
                <c:pt idx="373">
                  <c:v>1235.2393697133962</c:v>
                </c:pt>
                <c:pt idx="374">
                  <c:v>1229.0966451750421</c:v>
                </c:pt>
                <c:pt idx="375">
                  <c:v>1222.8881067770401</c:v>
                </c:pt>
                <c:pt idx="376">
                  <c:v>1216.6144371007322</c:v>
                </c:pt>
                <c:pt idx="377">
                  <c:v>1210.2763198340401</c:v>
                </c:pt>
                <c:pt idx="378">
                  <c:v>1203.8744395554993</c:v>
                </c:pt>
                <c:pt idx="379">
                  <c:v>1197.4094815215456</c:v>
                </c:pt>
                <c:pt idx="380">
                  <c:v>1190.8821314571496</c:v>
                </c:pt>
                <c:pt idx="381">
                  <c:v>1184.293075349887</c:v>
                </c:pt>
                <c:pt idx="382">
                  <c:v>1177.6429992475246</c:v>
                </c:pt>
                <c:pt idx="383">
                  <c:v>1170.9325890592027</c:v>
                </c:pt>
                <c:pt idx="384">
                  <c:v>1164.1625303602784</c:v>
                </c:pt>
                <c:pt idx="385">
                  <c:v>1157.3335082008994</c:v>
                </c:pt>
                <c:pt idx="386">
                  <c:v>1150.4462069183635</c:v>
                </c:pt>
                <c:pt idx="387">
                  <c:v>1143.5013099533207</c:v>
                </c:pt>
                <c:pt idx="388">
                  <c:v>1136.499499669862</c:v>
                </c:pt>
                <c:pt idx="389">
                  <c:v>1129.4414571795412</c:v>
                </c:pt>
                <c:pt idx="390">
                  <c:v>1122.3278621693657</c:v>
                </c:pt>
                <c:pt idx="391">
                  <c:v>1115.1593927337885</c:v>
                </c:pt>
                <c:pt idx="392">
                  <c:v>1107.9367252107302</c:v>
                </c:pt>
                <c:pt idx="393">
                  <c:v>1100.6605340216531</c:v>
                </c:pt>
                <c:pt idx="394">
                  <c:v>1093.3314915157066</c:v>
                </c:pt>
                <c:pt idx="395">
                  <c:v>1085.9502678179549</c:v>
                </c:pt>
                <c:pt idx="396">
                  <c:v>1078.5175306817011</c:v>
                </c:pt>
                <c:pt idx="397">
                  <c:v>1071.0339453449076</c:v>
                </c:pt>
                <c:pt idx="398">
                  <c:v>1063.5001743907167</c:v>
                </c:pt>
                <c:pt idx="399">
                  <c:v>1055.9168776120684</c:v>
                </c:pt>
                <c:pt idx="400">
                  <c:v>1048.2847118804068</c:v>
                </c:pt>
                <c:pt idx="401">
                  <c:v>1040.6043310184652</c:v>
                </c:pt>
                <c:pt idx="402">
                  <c:v>1032.876385677117</c:v>
                </c:pt>
                <c:pt idx="403">
                  <c:v>1025.1015232162724</c:v>
                </c:pt>
                <c:pt idx="404">
                  <c:v>1017.2803875898013</c:v>
                </c:pt>
                <c:pt idx="405">
                  <c:v>1009.4136192344587</c:v>
                </c:pt>
                <c:pt idx="406">
                  <c:v>1001.5018549627836</c:v>
                </c:pt>
                <c:pt idx="407">
                  <c:v>993.54572785994355</c:v>
                </c:pt>
                <c:pt idx="408">
                  <c:v>985.54586718449036</c:v>
                </c:pt>
                <c:pt idx="409">
                  <c:v>977.50289827299241</c:v>
                </c:pt>
                <c:pt idx="410">
                  <c:v>969.4174424485052</c:v>
                </c:pt>
                <c:pt idx="411">
                  <c:v>961.29011693284019</c:v>
                </c:pt>
                <c:pt idx="412">
                  <c:v>953.12153476258914</c:v>
                </c:pt>
                <c:pt idx="413">
                  <c:v>944.91230470885955</c:v>
                </c:pt>
                <c:pt idx="414">
                  <c:v>936.66303120067471</c:v>
                </c:pt>
                <c:pt idx="415">
                  <c:v>928.3743142519894</c:v>
                </c:pt>
                <c:pt idx="416">
                  <c:v>920.04674939227209</c:v>
                </c:pt>
                <c:pt idx="417">
                  <c:v>911.68092760060051</c:v>
                </c:pt>
                <c:pt idx="418">
                  <c:v>903.27743524321897</c:v>
                </c:pt>
                <c:pt idx="419">
                  <c:v>894.83685401450157</c:v>
                </c:pt>
                <c:pt idx="420">
                  <c:v>886.35976088126597</c:v>
                </c:pt>
                <c:pt idx="421">
                  <c:v>877.84672803038086</c:v>
                </c:pt>
                <c:pt idx="422">
                  <c:v>869.29832281960842</c:v>
                </c:pt>
                <c:pt idx="423">
                  <c:v>860.71510773162379</c:v>
                </c:pt>
                <c:pt idx="424">
                  <c:v>852.09764033115061</c:v>
                </c:pt>
                <c:pt idx="425">
                  <c:v>843.44647322515334</c:v>
                </c:pt>
                <c:pt idx="426">
                  <c:v>834.76215402602361</c:v>
                </c:pt>
                <c:pt idx="427">
                  <c:v>826.04522531770033</c:v>
                </c:pt>
                <c:pt idx="428">
                  <c:v>817.29622462466045</c:v>
                </c:pt>
                <c:pt idx="429">
                  <c:v>808.51568438371839</c:v>
                </c:pt>
                <c:pt idx="430">
                  <c:v>799.70413191857006</c:v>
                </c:pt>
                <c:pt idx="431">
                  <c:v>790.86208941702012</c:v>
                </c:pt>
                <c:pt idx="432">
                  <c:v>781.99007391082785</c:v>
                </c:pt>
                <c:pt idx="433">
                  <c:v>773.08859725810896</c:v>
                </c:pt>
                <c:pt idx="434">
                  <c:v>764.15816612822994</c:v>
                </c:pt>
                <c:pt idx="435">
                  <c:v>755.19928198913135</c:v>
                </c:pt>
                <c:pt idx="436">
                  <c:v>746.21244109701797</c:v>
                </c:pt>
                <c:pt idx="437">
                  <c:v>737.1981344883518</c:v>
                </c:pt>
                <c:pt idx="438">
                  <c:v>728.15684797408596</c:v>
                </c:pt>
                <c:pt idx="439">
                  <c:v>719.08906213607725</c:v>
                </c:pt>
                <c:pt idx="440">
                  <c:v>709.99525232561496</c:v>
                </c:pt>
                <c:pt idx="441">
                  <c:v>700.87588866400472</c:v>
                </c:pt>
                <c:pt idx="442">
                  <c:v>691.73143604514667</c:v>
                </c:pt>
                <c:pt idx="443">
                  <c:v>682.56235414004698</c:v>
                </c:pt>
                <c:pt idx="444">
                  <c:v>673.369097403203</c:v>
                </c:pt>
                <c:pt idx="445">
                  <c:v>664.15211508080245</c:v>
                </c:pt>
                <c:pt idx="446">
                  <c:v>654.91185122067816</c:v>
                </c:pt>
                <c:pt idx="447">
                  <c:v>645.64874468396067</c:v>
                </c:pt>
                <c:pt idx="448">
                  <c:v>636.36322915837013</c:v>
                </c:pt>
                <c:pt idx="449">
                  <c:v>627.05573317309222</c:v>
                </c:pt>
                <c:pt idx="450">
                  <c:v>617.72668011518169</c:v>
                </c:pt>
                <c:pt idx="451">
                  <c:v>608.37648824743826</c:v>
                </c:pt>
                <c:pt idx="452">
                  <c:v>599.00557072770096</c:v>
                </c:pt>
                <c:pt idx="453">
                  <c:v>589.61433562950685</c:v>
                </c:pt>
                <c:pt idx="454">
                  <c:v>580.20318596406298</c:v>
                </c:pt>
                <c:pt idx="455">
                  <c:v>570.77251970347777</c:v>
                </c:pt>
                <c:pt idx="456">
                  <c:v>561.32272980520293</c:v>
                </c:pt>
                <c:pt idx="457">
                  <c:v>551.85420423763514</c:v>
                </c:pt>
                <c:pt idx="458">
                  <c:v>542.36732600682797</c:v>
                </c:pt>
                <c:pt idx="459">
                  <c:v>532.86247318426695</c:v>
                </c:pt>
                <c:pt idx="460">
                  <c:v>523.34001893566017</c:v>
                </c:pt>
                <c:pt idx="461">
                  <c:v>513.80033155069805</c:v>
                </c:pt>
                <c:pt idx="462">
                  <c:v>504.24377447373695</c:v>
                </c:pt>
                <c:pt idx="463">
                  <c:v>494.67070633536287</c:v>
                </c:pt>
                <c:pt idx="464">
                  <c:v>485.08148098479109</c:v>
                </c:pt>
                <c:pt idx="465">
                  <c:v>475.47644752305979</c:v>
                </c:pt>
                <c:pt idx="466">
                  <c:v>465.85595033697609</c:v>
                </c:pt>
                <c:pt idx="467">
                  <c:v>456.22032913377387</c:v>
                </c:pt>
                <c:pt idx="468">
                  <c:v>446.56991897644383</c:v>
                </c:pt>
                <c:pt idx="469">
                  <c:v>436.90505031969741</c:v>
                </c:pt>
                <c:pt idx="470">
                  <c:v>427.22604904652644</c:v>
                </c:pt>
                <c:pt idx="471">
                  <c:v>417.53323650532229</c:v>
                </c:pt>
                <c:pt idx="472">
                  <c:v>407.82692954751826</c:v>
                </c:pt>
                <c:pt idx="473">
                  <c:v>398.10744056572059</c:v>
                </c:pt>
                <c:pt idx="474">
                  <c:v>388.37507753229437</c:v>
                </c:pt>
                <c:pt idx="475">
                  <c:v>378.63014403837076</c:v>
                </c:pt>
                <c:pt idx="476">
                  <c:v>368.87293933324389</c:v>
                </c:pt>
                <c:pt idx="477">
                  <c:v>359.10375836412595</c:v>
                </c:pt>
                <c:pt idx="478">
                  <c:v>349.32289181623037</c:v>
                </c:pt>
                <c:pt idx="479">
                  <c:v>339.53062615315338</c:v>
                </c:pt>
                <c:pt idx="480">
                  <c:v>329.72724365752566</c:v>
                </c:pt>
                <c:pt idx="481">
                  <c:v>319.91302247190595</c:v>
                </c:pt>
                <c:pt idx="482">
                  <c:v>310.08823663989028</c:v>
                </c:pt>
                <c:pt idx="483">
                  <c:v>300.25315614741021</c:v>
                </c:pt>
                <c:pt idx="484">
                  <c:v>290.40804696419548</c:v>
                </c:pt>
                <c:pt idx="485">
                  <c:v>280.55317108537588</c:v>
                </c:pt>
                <c:pt idx="486">
                  <c:v>270.68878657319954</c:v>
                </c:pt>
                <c:pt idx="487">
                  <c:v>260.81514759884436</c:v>
                </c:pt>
                <c:pt idx="488">
                  <c:v>250.93250448430032</c:v>
                </c:pt>
                <c:pt idx="489">
                  <c:v>241.04110374430212</c:v>
                </c:pt>
                <c:pt idx="490">
                  <c:v>231.14118812829062</c:v>
                </c:pt>
                <c:pt idx="491">
                  <c:v>221.23299666238418</c:v>
                </c:pt>
                <c:pt idx="492">
                  <c:v>211.31676469133998</c:v>
                </c:pt>
                <c:pt idx="493">
                  <c:v>201.39272392048758</c:v>
                </c:pt>
                <c:pt idx="494">
                  <c:v>191.46110245761648</c:v>
                </c:pt>
                <c:pt idx="495">
                  <c:v>181.52212485480092</c:v>
                </c:pt>
                <c:pt idx="496">
                  <c:v>171.57601215014552</c:v>
                </c:pt>
                <c:pt idx="497">
                  <c:v>161.62298190943582</c:v>
                </c:pt>
                <c:pt idx="498">
                  <c:v>151.66324826767874</c:v>
                </c:pt>
                <c:pt idx="499">
                  <c:v>141.69702197051851</c:v>
                </c:pt>
                <c:pt idx="500">
                  <c:v>131.72451041551403</c:v>
                </c:pt>
                <c:pt idx="501">
                  <c:v>121.74591769326445</c:v>
                </c:pt>
                <c:pt idx="502">
                  <c:v>111.76144462837017</c:v>
                </c:pt>
                <c:pt idx="503">
                  <c:v>101.77128882021724</c:v>
                </c:pt>
                <c:pt idx="504">
                  <c:v>91.775644683573162</c:v>
                </c:pt>
                <c:pt idx="505">
                  <c:v>81.774703488983505</c:v>
                </c:pt>
                <c:pt idx="506">
                  <c:v>71.768653402958307</c:v>
                </c:pt>
                <c:pt idx="507">
                  <c:v>61.757679527938492</c:v>
                </c:pt>
                <c:pt idx="508">
                  <c:v>51.741963942032513</c:v>
                </c:pt>
                <c:pt idx="509">
                  <c:v>41.721685738514282</c:v>
                </c:pt>
                <c:pt idx="510">
                  <c:v>31.69702106507367</c:v>
                </c:pt>
                <c:pt idx="511">
                  <c:v>21.668143162811401</c:v>
                </c:pt>
                <c:pt idx="512">
                  <c:v>11.635222404970609</c:v>
                </c:pt>
                <c:pt idx="513">
                  <c:v>1.5984263353977717</c:v>
                </c:pt>
                <c:pt idx="514">
                  <c:v>-8.4420802932739214</c:v>
                </c:pt>
                <c:pt idx="515">
                  <c:v>-8.4521226160746306</c:v>
                </c:pt>
                <c:pt idx="516">
                  <c:v>-8.4621649423435041</c:v>
                </c:pt>
                <c:pt idx="517">
                  <c:v>-8.472207272080384</c:v>
                </c:pt>
                <c:pt idx="518">
                  <c:v>-8.482249605285114</c:v>
                </c:pt>
                <c:pt idx="519">
                  <c:v>-8.4922919419575358</c:v>
                </c:pt>
                <c:pt idx="520">
                  <c:v>-8.5023342820974914</c:v>
                </c:pt>
                <c:pt idx="521">
                  <c:v>-8.5123766257048228</c:v>
                </c:pt>
                <c:pt idx="522">
                  <c:v>-8.5224189727793718</c:v>
                </c:pt>
                <c:pt idx="523">
                  <c:v>-8.5324613233209821</c:v>
                </c:pt>
                <c:pt idx="524">
                  <c:v>-8.5425036773294938</c:v>
                </c:pt>
                <c:pt idx="525">
                  <c:v>-8.5525460348047506</c:v>
                </c:pt>
                <c:pt idx="526">
                  <c:v>-8.5625883957465945</c:v>
                </c:pt>
                <c:pt idx="527">
                  <c:v>-8.5726307601548672</c:v>
                </c:pt>
                <c:pt idx="528">
                  <c:v>-8.5826731280294126</c:v>
                </c:pt>
                <c:pt idx="529">
                  <c:v>-8.5927154993700725</c:v>
                </c:pt>
                <c:pt idx="530">
                  <c:v>-8.602757874176687</c:v>
                </c:pt>
                <c:pt idx="531">
                  <c:v>-8.6128002524490999</c:v>
                </c:pt>
                <c:pt idx="532">
                  <c:v>-8.6228426341871547</c:v>
                </c:pt>
                <c:pt idx="533">
                  <c:v>-8.6328850193906916</c:v>
                </c:pt>
                <c:pt idx="534">
                  <c:v>-8.6429274080595544</c:v>
                </c:pt>
                <c:pt idx="535">
                  <c:v>-8.6529698001935831</c:v>
                </c:pt>
                <c:pt idx="536">
                  <c:v>-8.6630121957926232</c:v>
                </c:pt>
                <c:pt idx="537">
                  <c:v>-8.6730545948565148</c:v>
                </c:pt>
                <c:pt idx="538">
                  <c:v>-8.6830969973850998</c:v>
                </c:pt>
                <c:pt idx="539">
                  <c:v>-8.6931394033782219</c:v>
                </c:pt>
                <c:pt idx="540">
                  <c:v>-8.703181812835723</c:v>
                </c:pt>
                <c:pt idx="541">
                  <c:v>-8.713224225757445</c:v>
                </c:pt>
                <c:pt idx="542">
                  <c:v>-8.7232666421432299</c:v>
                </c:pt>
                <c:pt idx="543">
                  <c:v>-8.7333090619929212</c:v>
                </c:pt>
                <c:pt idx="544">
                  <c:v>-8.7433514853063592</c:v>
                </c:pt>
                <c:pt idx="545">
                  <c:v>-8.7533939120833875</c:v>
                </c:pt>
                <c:pt idx="546">
                  <c:v>-8.7634363423238479</c:v>
                </c:pt>
                <c:pt idx="547">
                  <c:v>-8.7734787760275843</c:v>
                </c:pt>
                <c:pt idx="548">
                  <c:v>-8.7835212131944367</c:v>
                </c:pt>
                <c:pt idx="549">
                  <c:v>-8.7935636538242488</c:v>
                </c:pt>
                <c:pt idx="550">
                  <c:v>-8.8036060979168624</c:v>
                </c:pt>
                <c:pt idx="551">
                  <c:v>-8.8136485454721196</c:v>
                </c:pt>
                <c:pt idx="552">
                  <c:v>-8.823690996489864</c:v>
                </c:pt>
                <c:pt idx="553">
                  <c:v>-8.8337334509699375</c:v>
                </c:pt>
                <c:pt idx="554">
                  <c:v>-8.8437759089121819</c:v>
                </c:pt>
                <c:pt idx="555">
                  <c:v>-8.8538183703164393</c:v>
                </c:pt>
                <c:pt idx="556">
                  <c:v>-8.8638608351825514</c:v>
                </c:pt>
                <c:pt idx="557">
                  <c:v>-8.8739033035103621</c:v>
                </c:pt>
                <c:pt idx="558">
                  <c:v>-8.8839457752997131</c:v>
                </c:pt>
                <c:pt idx="559">
                  <c:v>-8.8939882505504464</c:v>
                </c:pt>
                <c:pt idx="560">
                  <c:v>-8.9040307292624039</c:v>
                </c:pt>
                <c:pt idx="561">
                  <c:v>-8.9140732114354293</c:v>
                </c:pt>
                <c:pt idx="562">
                  <c:v>-8.9241156970693645</c:v>
                </c:pt>
                <c:pt idx="563">
                  <c:v>-8.9341581861640513</c:v>
                </c:pt>
                <c:pt idx="564">
                  <c:v>-8.9442006787193318</c:v>
                </c:pt>
                <c:pt idx="565">
                  <c:v>-8.9542431747350495</c:v>
                </c:pt>
                <c:pt idx="566">
                  <c:v>-8.9642856742110464</c:v>
                </c:pt>
                <c:pt idx="567">
                  <c:v>-8.9743281771471644</c:v>
                </c:pt>
                <c:pt idx="568">
                  <c:v>-8.9843706835432453</c:v>
                </c:pt>
                <c:pt idx="569">
                  <c:v>-8.9944131933991329</c:v>
                </c:pt>
                <c:pt idx="570">
                  <c:v>-9.0044557067146691</c:v>
                </c:pt>
                <c:pt idx="571">
                  <c:v>-9.0144982234896958</c:v>
                </c:pt>
                <c:pt idx="572">
                  <c:v>-9.0245407437240548</c:v>
                </c:pt>
                <c:pt idx="573">
                  <c:v>-9.0345832674175899</c:v>
                </c:pt>
                <c:pt idx="574">
                  <c:v>-9.0446257945701429</c:v>
                </c:pt>
                <c:pt idx="575">
                  <c:v>-9.0546683251815558</c:v>
                </c:pt>
                <c:pt idx="576">
                  <c:v>-9.0647108592516705</c:v>
                </c:pt>
                <c:pt idx="577">
                  <c:v>-9.0747533967803307</c:v>
                </c:pt>
                <c:pt idx="578">
                  <c:v>-9.0847959377673781</c:v>
                </c:pt>
                <c:pt idx="579">
                  <c:v>-9.0948384822126549</c:v>
                </c:pt>
                <c:pt idx="580">
                  <c:v>-9.1048810301160046</c:v>
                </c:pt>
                <c:pt idx="581">
                  <c:v>-9.1149235814772673</c:v>
                </c:pt>
                <c:pt idx="582">
                  <c:v>-9.1249661362962868</c:v>
                </c:pt>
                <c:pt idx="583">
                  <c:v>-9.1350086945729068</c:v>
                </c:pt>
                <c:pt idx="584">
                  <c:v>-9.1450512563069672</c:v>
                </c:pt>
                <c:pt idx="585">
                  <c:v>-9.155093821498312</c:v>
                </c:pt>
                <c:pt idx="586">
                  <c:v>-9.1651363901467828</c:v>
                </c:pt>
                <c:pt idx="587">
                  <c:v>-9.1751789622522235</c:v>
                </c:pt>
                <c:pt idx="588">
                  <c:v>-9.1852215378144741</c:v>
                </c:pt>
                <c:pt idx="589">
                  <c:v>-9.1952641168333784</c:v>
                </c:pt>
                <c:pt idx="590">
                  <c:v>-9.20530669930878</c:v>
                </c:pt>
                <c:pt idx="591">
                  <c:v>-9.215349285240519</c:v>
                </c:pt>
                <c:pt idx="592">
                  <c:v>-9.2253918746284391</c:v>
                </c:pt>
                <c:pt idx="593">
                  <c:v>-9.2354344674723823</c:v>
                </c:pt>
                <c:pt idx="594">
                  <c:v>-9.2454770637721904</c:v>
                </c:pt>
                <c:pt idx="595">
                  <c:v>-9.2555196635277071</c:v>
                </c:pt>
                <c:pt idx="596">
                  <c:v>-9.2655622667387743</c:v>
                </c:pt>
                <c:pt idx="597">
                  <c:v>-9.2756048734052339</c:v>
                </c:pt>
                <c:pt idx="598">
                  <c:v>-9.2856474835269296</c:v>
                </c:pt>
                <c:pt idx="599">
                  <c:v>-9.2956900971037033</c:v>
                </c:pt>
                <c:pt idx="600">
                  <c:v>-9.3057327141353969</c:v>
                </c:pt>
                <c:pt idx="601">
                  <c:v>-9.3157753346218541</c:v>
                </c:pt>
                <c:pt idx="602">
                  <c:v>-9.3258179585629151</c:v>
                </c:pt>
                <c:pt idx="603">
                  <c:v>-9.3358605859584252</c:v>
                </c:pt>
                <c:pt idx="604">
                  <c:v>-9.3459032168082246</c:v>
                </c:pt>
                <c:pt idx="605">
                  <c:v>-9.3559458511121569</c:v>
                </c:pt>
                <c:pt idx="606">
                  <c:v>-9.3659884888700642</c:v>
                </c:pt>
                <c:pt idx="607">
                  <c:v>-9.3760311300817882</c:v>
                </c:pt>
                <c:pt idx="608">
                  <c:v>-9.3860737747471727</c:v>
                </c:pt>
                <c:pt idx="609">
                  <c:v>-9.3961164228660596</c:v>
                </c:pt>
                <c:pt idx="610">
                  <c:v>-9.4061590744382908</c:v>
                </c:pt>
                <c:pt idx="611">
                  <c:v>-9.4162017294637081</c:v>
                </c:pt>
                <c:pt idx="612">
                  <c:v>-9.4262443879421554</c:v>
                </c:pt>
                <c:pt idx="613">
                  <c:v>-9.4362870498734761</c:v>
                </c:pt>
                <c:pt idx="614">
                  <c:v>-9.4463297152575105</c:v>
                </c:pt>
                <c:pt idx="615">
                  <c:v>-9.4563723840941023</c:v>
                </c:pt>
                <c:pt idx="616">
                  <c:v>-9.4664150563830933</c:v>
                </c:pt>
                <c:pt idx="617">
                  <c:v>-9.4764577321243273</c:v>
                </c:pt>
                <c:pt idx="618">
                  <c:v>-9.4865004113176461</c:v>
                </c:pt>
                <c:pt idx="619">
                  <c:v>-9.4965430939628916</c:v>
                </c:pt>
                <c:pt idx="620">
                  <c:v>-9.5065857800599058</c:v>
                </c:pt>
                <c:pt idx="621">
                  <c:v>-9.5166284696085324</c:v>
                </c:pt>
                <c:pt idx="622">
                  <c:v>-9.5266711626086131</c:v>
                </c:pt>
                <c:pt idx="623">
                  <c:v>-9.5367138590599918</c:v>
                </c:pt>
                <c:pt idx="624">
                  <c:v>-9.5467565589625085</c:v>
                </c:pt>
                <c:pt idx="625">
                  <c:v>-9.5567992623160087</c:v>
                </c:pt>
                <c:pt idx="626">
                  <c:v>-9.5668419691203326</c:v>
                </c:pt>
                <c:pt idx="627">
                  <c:v>-9.5768846793753237</c:v>
                </c:pt>
                <c:pt idx="628">
                  <c:v>-9.5869273930808241</c:v>
                </c:pt>
                <c:pt idx="629">
                  <c:v>-9.5969701102366773</c:v>
                </c:pt>
                <c:pt idx="630">
                  <c:v>-9.6070128308427254</c:v>
                </c:pt>
                <c:pt idx="631">
                  <c:v>-9.6170555548988101</c:v>
                </c:pt>
                <c:pt idx="632">
                  <c:v>-9.6270982824047735</c:v>
                </c:pt>
                <c:pt idx="633">
                  <c:v>-9.6371410133604591</c:v>
                </c:pt>
                <c:pt idx="634">
                  <c:v>-9.647183747765709</c:v>
                </c:pt>
                <c:pt idx="635">
                  <c:v>-9.6572264856203667</c:v>
                </c:pt>
                <c:pt idx="636">
                  <c:v>-9.6672692269242742</c:v>
                </c:pt>
                <c:pt idx="637">
                  <c:v>-9.6773119716772733</c:v>
                </c:pt>
                <c:pt idx="638">
                  <c:v>-9.6873547198792078</c:v>
                </c:pt>
                <c:pt idx="639">
                  <c:v>-9.6973974715299196</c:v>
                </c:pt>
                <c:pt idx="640">
                  <c:v>-9.7074402266292505</c:v>
                </c:pt>
                <c:pt idx="641">
                  <c:v>-9.7174829851770443</c:v>
                </c:pt>
                <c:pt idx="642">
                  <c:v>-9.7275257471731429</c:v>
                </c:pt>
                <c:pt idx="643">
                  <c:v>-9.7375685126173899</c:v>
                </c:pt>
                <c:pt idx="644">
                  <c:v>-9.7476112815096272</c:v>
                </c:pt>
                <c:pt idx="645">
                  <c:v>-9.7576540538496968</c:v>
                </c:pt>
                <c:pt idx="646">
                  <c:v>-9.7676968296374405</c:v>
                </c:pt>
                <c:pt idx="647">
                  <c:v>-9.777739608872702</c:v>
                </c:pt>
                <c:pt idx="648">
                  <c:v>-9.787782391555325</c:v>
                </c:pt>
                <c:pt idx="649">
                  <c:v>-9.7978251776851497</c:v>
                </c:pt>
                <c:pt idx="650">
                  <c:v>-9.8078679672620197</c:v>
                </c:pt>
                <c:pt idx="651">
                  <c:v>-9.8179107602857787</c:v>
                </c:pt>
                <c:pt idx="652">
                  <c:v>-9.8279535567562686</c:v>
                </c:pt>
                <c:pt idx="653">
                  <c:v>-9.8379963566733313</c:v>
                </c:pt>
                <c:pt idx="654">
                  <c:v>-9.8480391600368087</c:v>
                </c:pt>
                <c:pt idx="655">
                  <c:v>-9.8580819668465445</c:v>
                </c:pt>
                <c:pt idx="656">
                  <c:v>-9.8681247771023823</c:v>
                </c:pt>
                <c:pt idx="657">
                  <c:v>-9.8781675908041624</c:v>
                </c:pt>
                <c:pt idx="658">
                  <c:v>-9.8882104079517301</c:v>
                </c:pt>
                <c:pt idx="659">
                  <c:v>-9.8982532285449256</c:v>
                </c:pt>
                <c:pt idx="660">
                  <c:v>-9.9082960525835926</c:v>
                </c:pt>
                <c:pt idx="661">
                  <c:v>-9.9183388800675729</c:v>
                </c:pt>
                <c:pt idx="662">
                  <c:v>-9.9283817109967103</c:v>
                </c:pt>
                <c:pt idx="663">
                  <c:v>-9.9384245453708466</c:v>
                </c:pt>
                <c:pt idx="664">
                  <c:v>-9.9484673831898238</c:v>
                </c:pt>
                <c:pt idx="665">
                  <c:v>-9.9585102244534855</c:v>
                </c:pt>
                <c:pt idx="666">
                  <c:v>-9.9685530691616737</c:v>
                </c:pt>
                <c:pt idx="667">
                  <c:v>-9.978595917314232</c:v>
                </c:pt>
                <c:pt idx="668">
                  <c:v>-9.9886387689110023</c:v>
                </c:pt>
                <c:pt idx="669">
                  <c:v>-9.9986816239518284</c:v>
                </c:pt>
                <c:pt idx="670">
                  <c:v>-10.00872448243655</c:v>
                </c:pt>
                <c:pt idx="671">
                  <c:v>-10.018767344365013</c:v>
                </c:pt>
                <c:pt idx="672">
                  <c:v>-10.028810209737058</c:v>
                </c:pt>
                <c:pt idx="673">
                  <c:v>-10.038853078552528</c:v>
                </c:pt>
                <c:pt idx="674">
                  <c:v>-10.048895950811266</c:v>
                </c:pt>
                <c:pt idx="675">
                  <c:v>-10.058938826513115</c:v>
                </c:pt>
                <c:pt idx="676">
                  <c:v>-10.068981705657917</c:v>
                </c:pt>
                <c:pt idx="677">
                  <c:v>-10.079024588245515</c:v>
                </c:pt>
                <c:pt idx="678">
                  <c:v>-10.089067474275751</c:v>
                </c:pt>
                <c:pt idx="679">
                  <c:v>-10.099110363748469</c:v>
                </c:pt>
                <c:pt idx="680">
                  <c:v>-10.109153256663509</c:v>
                </c:pt>
                <c:pt idx="681">
                  <c:v>-10.119196153020717</c:v>
                </c:pt>
                <c:pt idx="682">
                  <c:v>-10.129239052819933</c:v>
                </c:pt>
                <c:pt idx="683">
                  <c:v>-10.139281956061001</c:v>
                </c:pt>
                <c:pt idx="684">
                  <c:v>-10.149324862743764</c:v>
                </c:pt>
                <c:pt idx="685">
                  <c:v>-10.159367772868064</c:v>
                </c:pt>
                <c:pt idx="686">
                  <c:v>-10.169410686433743</c:v>
                </c:pt>
                <c:pt idx="687">
                  <c:v>-10.179453603440644</c:v>
                </c:pt>
                <c:pt idx="688">
                  <c:v>-10.189496523888609</c:v>
                </c:pt>
                <c:pt idx="689">
                  <c:v>-10.199539447777482</c:v>
                </c:pt>
                <c:pt idx="690">
                  <c:v>-10.209582375107107</c:v>
                </c:pt>
                <c:pt idx="691">
                  <c:v>-10.219625305877324</c:v>
                </c:pt>
                <c:pt idx="692">
                  <c:v>-10.229668240087976</c:v>
                </c:pt>
                <c:pt idx="693">
                  <c:v>-10.239711177738908</c:v>
                </c:pt>
                <c:pt idx="694">
                  <c:v>-10.24975411882996</c:v>
                </c:pt>
                <c:pt idx="695">
                  <c:v>-10.259797063360976</c:v>
                </c:pt>
                <c:pt idx="696">
                  <c:v>-10.269840011331798</c:v>
                </c:pt>
                <c:pt idx="697">
                  <c:v>-10.279882962742269</c:v>
                </c:pt>
                <c:pt idx="698">
                  <c:v>-10.289925917592232</c:v>
                </c:pt>
                <c:pt idx="699">
                  <c:v>-10.299968875881529</c:v>
                </c:pt>
                <c:pt idx="700">
                  <c:v>-10.310011837610004</c:v>
                </c:pt>
                <c:pt idx="701">
                  <c:v>-10.320054802777499</c:v>
                </c:pt>
                <c:pt idx="702">
                  <c:v>-10.330097771383857</c:v>
                </c:pt>
                <c:pt idx="703">
                  <c:v>-10.34014074342892</c:v>
                </c:pt>
                <c:pt idx="704">
                  <c:v>-10.350183718912531</c:v>
                </c:pt>
                <c:pt idx="705">
                  <c:v>-10.360226697834532</c:v>
                </c:pt>
                <c:pt idx="706">
                  <c:v>-10.370269680194767</c:v>
                </c:pt>
                <c:pt idx="707">
                  <c:v>-10.380312665993078</c:v>
                </c:pt>
                <c:pt idx="708">
                  <c:v>-10.390355655229309</c:v>
                </c:pt>
                <c:pt idx="709">
                  <c:v>-10.4003986479033</c:v>
                </c:pt>
                <c:pt idx="710">
                  <c:v>-10.410441644014897</c:v>
                </c:pt>
                <c:pt idx="711">
                  <c:v>-10.42048464356394</c:v>
                </c:pt>
                <c:pt idx="712">
                  <c:v>-10.430527646550273</c:v>
                </c:pt>
                <c:pt idx="713">
                  <c:v>-10.440570652973738</c:v>
                </c:pt>
                <c:pt idx="714">
                  <c:v>-10.450613662834179</c:v>
                </c:pt>
                <c:pt idx="715">
                  <c:v>-10.460656676131439</c:v>
                </c:pt>
                <c:pt idx="716">
                  <c:v>-10.47069969286536</c:v>
                </c:pt>
                <c:pt idx="717">
                  <c:v>-10.480742713035783</c:v>
                </c:pt>
                <c:pt idx="718">
                  <c:v>-10.490785736642552</c:v>
                </c:pt>
                <c:pt idx="719">
                  <c:v>-10.500828763685512</c:v>
                </c:pt>
                <c:pt idx="720">
                  <c:v>-10.510871794164503</c:v>
                </c:pt>
                <c:pt idx="721">
                  <c:v>-10.520914828079368</c:v>
                </c:pt>
                <c:pt idx="722">
                  <c:v>-10.530957865429951</c:v>
                </c:pt>
                <c:pt idx="723">
                  <c:v>-10.541000906216093</c:v>
                </c:pt>
                <c:pt idx="724">
                  <c:v>-10.551043950437638</c:v>
                </c:pt>
                <c:pt idx="725">
                  <c:v>-10.561086998094428</c:v>
                </c:pt>
                <c:pt idx="726">
                  <c:v>-10.571130049186307</c:v>
                </c:pt>
                <c:pt idx="727">
                  <c:v>-10.581173103713118</c:v>
                </c:pt>
                <c:pt idx="728">
                  <c:v>-10.591216161674701</c:v>
                </c:pt>
                <c:pt idx="729">
                  <c:v>-10.601259223070903</c:v>
                </c:pt>
                <c:pt idx="730">
                  <c:v>-10.611302287901562</c:v>
                </c:pt>
                <c:pt idx="731">
                  <c:v>-10.621345356166525</c:v>
                </c:pt>
                <c:pt idx="732">
                  <c:v>-10.631388427865632</c:v>
                </c:pt>
                <c:pt idx="733">
                  <c:v>-10.641431502998728</c:v>
                </c:pt>
                <c:pt idx="734">
                  <c:v>-10.651474581565655</c:v>
                </c:pt>
                <c:pt idx="735">
                  <c:v>-10.661517663566254</c:v>
                </c:pt>
                <c:pt idx="736">
                  <c:v>-10.671560749000371</c:v>
                </c:pt>
                <c:pt idx="737">
                  <c:v>-10.681603837867845</c:v>
                </c:pt>
                <c:pt idx="738">
                  <c:v>-10.691646930168522</c:v>
                </c:pt>
                <c:pt idx="739">
                  <c:v>-10.701690025902243</c:v>
                </c:pt>
                <c:pt idx="740">
                  <c:v>-10.711733125068852</c:v>
                </c:pt>
                <c:pt idx="741">
                  <c:v>-10.72177622766819</c:v>
                </c:pt>
                <c:pt idx="742">
                  <c:v>-10.731819333700102</c:v>
                </c:pt>
                <c:pt idx="743">
                  <c:v>-10.741862443164429</c:v>
                </c:pt>
                <c:pt idx="744">
                  <c:v>-10.751905556061015</c:v>
                </c:pt>
                <c:pt idx="745">
                  <c:v>-10.761948672389702</c:v>
                </c:pt>
                <c:pt idx="746">
                  <c:v>-10.771991792150333</c:v>
                </c:pt>
                <c:pt idx="747">
                  <c:v>-10.782034915342752</c:v>
                </c:pt>
                <c:pt idx="748">
                  <c:v>-10.792078041966802</c:v>
                </c:pt>
                <c:pt idx="749">
                  <c:v>-10.802121172022323</c:v>
                </c:pt>
                <c:pt idx="750">
                  <c:v>-10.81216430550916</c:v>
                </c:pt>
                <c:pt idx="751">
                  <c:v>-10.822207442427157</c:v>
                </c:pt>
                <c:pt idx="752">
                  <c:v>-10.832250582776155</c:v>
                </c:pt>
                <c:pt idx="753">
                  <c:v>-10.842293726555996</c:v>
                </c:pt>
                <c:pt idx="754">
                  <c:v>-10.852336873766523</c:v>
                </c:pt>
                <c:pt idx="755">
                  <c:v>-10.862380024407582</c:v>
                </c:pt>
                <c:pt idx="756">
                  <c:v>-10.872423178479012</c:v>
                </c:pt>
                <c:pt idx="757">
                  <c:v>-10.882466335980657</c:v>
                </c:pt>
                <c:pt idx="758">
                  <c:v>-10.892509496912362</c:v>
                </c:pt>
                <c:pt idx="759">
                  <c:v>-10.902552661273967</c:v>
                </c:pt>
                <c:pt idx="760">
                  <c:v>-10.912595829065317</c:v>
                </c:pt>
                <c:pt idx="761">
                  <c:v>-10.922639000286253</c:v>
                </c:pt>
                <c:pt idx="762">
                  <c:v>-10.93268217493662</c:v>
                </c:pt>
                <c:pt idx="763">
                  <c:v>-10.942725353016259</c:v>
                </c:pt>
                <c:pt idx="764">
                  <c:v>-10.952768534525013</c:v>
                </c:pt>
                <c:pt idx="765">
                  <c:v>-10.962811719462726</c:v>
                </c:pt>
                <c:pt idx="766">
                  <c:v>-10.972854907829241</c:v>
                </c:pt>
                <c:pt idx="767">
                  <c:v>-10.9828980996244</c:v>
                </c:pt>
                <c:pt idx="768">
                  <c:v>-10.992941294848045</c:v>
                </c:pt>
                <c:pt idx="769">
                  <c:v>-11.002984493500021</c:v>
                </c:pt>
                <c:pt idx="770">
                  <c:v>-11.013027695580169</c:v>
                </c:pt>
                <c:pt idx="771">
                  <c:v>-11.023070901088333</c:v>
                </c:pt>
                <c:pt idx="772">
                  <c:v>-11.033114110024355</c:v>
                </c:pt>
                <c:pt idx="773">
                  <c:v>-11.04315732238808</c:v>
                </c:pt>
                <c:pt idx="774">
                  <c:v>-11.053200538179349</c:v>
                </c:pt>
                <c:pt idx="775">
                  <c:v>-11.063243757398004</c:v>
                </c:pt>
                <c:pt idx="776">
                  <c:v>-11.073286980043889</c:v>
                </c:pt>
                <c:pt idx="777">
                  <c:v>-11.083330206116848</c:v>
                </c:pt>
                <c:pt idx="778">
                  <c:v>-11.093373435616723</c:v>
                </c:pt>
                <c:pt idx="779">
                  <c:v>-11.103416668543357</c:v>
                </c:pt>
                <c:pt idx="780">
                  <c:v>-11.113459904896592</c:v>
                </c:pt>
                <c:pt idx="781">
                  <c:v>-11.123503144676272</c:v>
                </c:pt>
                <c:pt idx="782">
                  <c:v>-11.133546387882241</c:v>
                </c:pt>
                <c:pt idx="783">
                  <c:v>-11.14358963451434</c:v>
                </c:pt>
                <c:pt idx="784">
                  <c:v>-11.153632884572412</c:v>
                </c:pt>
                <c:pt idx="785">
                  <c:v>-11.163676138056299</c:v>
                </c:pt>
                <c:pt idx="786">
                  <c:v>-11.173719394965847</c:v>
                </c:pt>
                <c:pt idx="787">
                  <c:v>-11.183762655300898</c:v>
                </c:pt>
                <c:pt idx="788">
                  <c:v>-11.193805919061292</c:v>
                </c:pt>
                <c:pt idx="789">
                  <c:v>-11.203849186246876</c:v>
                </c:pt>
                <c:pt idx="790">
                  <c:v>-11.21389245685749</c:v>
                </c:pt>
                <c:pt idx="791">
                  <c:v>-11.223935730892979</c:v>
                </c:pt>
                <c:pt idx="792">
                  <c:v>-11.233979008353185</c:v>
                </c:pt>
                <c:pt idx="793">
                  <c:v>-11.24402228923795</c:v>
                </c:pt>
                <c:pt idx="794">
                  <c:v>-11.254065573547118</c:v>
                </c:pt>
                <c:pt idx="795">
                  <c:v>-11.264108861280532</c:v>
                </c:pt>
                <c:pt idx="796">
                  <c:v>-11.274152152438035</c:v>
                </c:pt>
                <c:pt idx="797">
                  <c:v>-11.284195447019469</c:v>
                </c:pt>
                <c:pt idx="798">
                  <c:v>-11.294238745024678</c:v>
                </c:pt>
                <c:pt idx="799">
                  <c:v>-11.304282046453505</c:v>
                </c:pt>
                <c:pt idx="800">
                  <c:v>-11.314325351305792</c:v>
                </c:pt>
                <c:pt idx="801">
                  <c:v>-11.324368659581383</c:v>
                </c:pt>
                <c:pt idx="802">
                  <c:v>-11.334411971280121</c:v>
                </c:pt>
                <c:pt idx="803">
                  <c:v>-11.344455286401848</c:v>
                </c:pt>
                <c:pt idx="804">
                  <c:v>-11.354498604946407</c:v>
                </c:pt>
                <c:pt idx="805">
                  <c:v>-11.364541926913642</c:v>
                </c:pt>
                <c:pt idx="806">
                  <c:v>-11.374585252303396</c:v>
                </c:pt>
                <c:pt idx="807">
                  <c:v>-11.384628581115511</c:v>
                </c:pt>
                <c:pt idx="808">
                  <c:v>-11.39467191334983</c:v>
                </c:pt>
                <c:pt idx="809">
                  <c:v>-11.404715249006196</c:v>
                </c:pt>
                <c:pt idx="810">
                  <c:v>-11.414758588084453</c:v>
                </c:pt>
                <c:pt idx="811">
                  <c:v>-11.424801930584444</c:v>
                </c:pt>
                <c:pt idx="812">
                  <c:v>-11.43484527650601</c:v>
                </c:pt>
                <c:pt idx="813">
                  <c:v>-11.444888625848996</c:v>
                </c:pt>
                <c:pt idx="814">
                  <c:v>-11.454931978613244</c:v>
                </c:pt>
                <c:pt idx="815">
                  <c:v>-11.464975334798599</c:v>
                </c:pt>
                <c:pt idx="816">
                  <c:v>-11.4750186944049</c:v>
                </c:pt>
                <c:pt idx="817">
                  <c:v>-11.485062057431994</c:v>
                </c:pt>
                <c:pt idx="818">
                  <c:v>-11.495105423879723</c:v>
                </c:pt>
                <c:pt idx="819">
                  <c:v>-11.505148793747928</c:v>
                </c:pt>
                <c:pt idx="820">
                  <c:v>-11.515192167036453</c:v>
                </c:pt>
                <c:pt idx="821">
                  <c:v>-11.525235543745142</c:v>
                </c:pt>
                <c:pt idx="822">
                  <c:v>-11.535278923873838</c:v>
                </c:pt>
                <c:pt idx="823">
                  <c:v>-11.545322307422383</c:v>
                </c:pt>
                <c:pt idx="824">
                  <c:v>-11.555365694390622</c:v>
                </c:pt>
                <c:pt idx="825">
                  <c:v>-11.565409084778395</c:v>
                </c:pt>
                <c:pt idx="826">
                  <c:v>-11.575452478585547</c:v>
                </c:pt>
                <c:pt idx="827">
                  <c:v>-11.585495875811921</c:v>
                </c:pt>
                <c:pt idx="828">
                  <c:v>-11.595539276457359</c:v>
                </c:pt>
                <c:pt idx="829">
                  <c:v>-11.605582680521705</c:v>
                </c:pt>
                <c:pt idx="830">
                  <c:v>-11.615626088004802</c:v>
                </c:pt>
                <c:pt idx="831">
                  <c:v>-11.625669498906493</c:v>
                </c:pt>
                <c:pt idx="832">
                  <c:v>-11.635712913226621</c:v>
                </c:pt>
                <c:pt idx="833">
                  <c:v>-11.645756330965028</c:v>
                </c:pt>
                <c:pt idx="834">
                  <c:v>-11.655799752121558</c:v>
                </c:pt>
                <c:pt idx="835">
                  <c:v>-11.665843176696054</c:v>
                </c:pt>
                <c:pt idx="836">
                  <c:v>-11.67588660468836</c:v>
                </c:pt>
                <c:pt idx="837">
                  <c:v>-11.685930036098318</c:v>
                </c:pt>
                <c:pt idx="838">
                  <c:v>-11.695973470925772</c:v>
                </c:pt>
                <c:pt idx="839">
                  <c:v>-11.706016909170563</c:v>
                </c:pt>
                <c:pt idx="840">
                  <c:v>-11.716060350832535</c:v>
                </c:pt>
                <c:pt idx="841">
                  <c:v>-11.726103795911532</c:v>
                </c:pt>
                <c:pt idx="842">
                  <c:v>-11.736147244407396</c:v>
                </c:pt>
                <c:pt idx="843">
                  <c:v>-11.746190696319971</c:v>
                </c:pt>
                <c:pt idx="844">
                  <c:v>-11.7562341516491</c:v>
                </c:pt>
                <c:pt idx="845">
                  <c:v>-11.766277610394624</c:v>
                </c:pt>
                <c:pt idx="846">
                  <c:v>-11.776321072556389</c:v>
                </c:pt>
                <c:pt idx="847">
                  <c:v>-11.786364538134237</c:v>
                </c:pt>
                <c:pt idx="848">
                  <c:v>-11.79640800712801</c:v>
                </c:pt>
                <c:pt idx="849">
                  <c:v>-11.806451479537554</c:v>
                </c:pt>
                <c:pt idx="850">
                  <c:v>-11.816494955362709</c:v>
                </c:pt>
                <c:pt idx="851">
                  <c:v>-11.82653843460332</c:v>
                </c:pt>
                <c:pt idx="852">
                  <c:v>-11.836581917259229</c:v>
                </c:pt>
                <c:pt idx="853">
                  <c:v>-11.846625403330279</c:v>
                </c:pt>
                <c:pt idx="854">
                  <c:v>-11.856668892816314</c:v>
                </c:pt>
                <c:pt idx="855">
                  <c:v>-11.866712385717177</c:v>
                </c:pt>
                <c:pt idx="856">
                  <c:v>-11.876755882032711</c:v>
                </c:pt>
                <c:pt idx="857">
                  <c:v>-11.886799381762758</c:v>
                </c:pt>
                <c:pt idx="858">
                  <c:v>-11.896842884907162</c:v>
                </c:pt>
                <c:pt idx="859">
                  <c:v>-11.906886391465767</c:v>
                </c:pt>
                <c:pt idx="860">
                  <c:v>-11.916929901438415</c:v>
                </c:pt>
                <c:pt idx="861">
                  <c:v>-11.92697341482495</c:v>
                </c:pt>
                <c:pt idx="862">
                  <c:v>-11.937016931625214</c:v>
                </c:pt>
                <c:pt idx="863">
                  <c:v>-11.94706045183905</c:v>
                </c:pt>
                <c:pt idx="864">
                  <c:v>-11.957103975466303</c:v>
                </c:pt>
                <c:pt idx="865">
                  <c:v>-11.967147502506815</c:v>
                </c:pt>
                <c:pt idx="866">
                  <c:v>-11.977191032960429</c:v>
                </c:pt>
                <c:pt idx="867">
                  <c:v>-11.987234566826988</c:v>
                </c:pt>
                <c:pt idx="868">
                  <c:v>-11.997278104106336</c:v>
                </c:pt>
                <c:pt idx="869">
                  <c:v>-12.007321644798314</c:v>
                </c:pt>
                <c:pt idx="870">
                  <c:v>-12.017365188902767</c:v>
                </c:pt>
                <c:pt idx="871">
                  <c:v>-12.027408736419538</c:v>
                </c:pt>
                <c:pt idx="872">
                  <c:v>-12.03745228734847</c:v>
                </c:pt>
                <c:pt idx="873">
                  <c:v>-12.047495841689406</c:v>
                </c:pt>
                <c:pt idx="874">
                  <c:v>-12.05753939944219</c:v>
                </c:pt>
                <c:pt idx="875">
                  <c:v>-12.067582960606664</c:v>
                </c:pt>
                <c:pt idx="876">
                  <c:v>-12.077626525182671</c:v>
                </c:pt>
                <c:pt idx="877">
                  <c:v>-12.087670093170056</c:v>
                </c:pt>
                <c:pt idx="878">
                  <c:v>-12.09771366456866</c:v>
                </c:pt>
                <c:pt idx="879">
                  <c:v>-12.107757239378328</c:v>
                </c:pt>
                <c:pt idx="880">
                  <c:v>-12.117800817598901</c:v>
                </c:pt>
                <c:pt idx="881">
                  <c:v>-12.127844399230225</c:v>
                </c:pt>
                <c:pt idx="882">
                  <c:v>-12.137887984272142</c:v>
                </c:pt>
                <c:pt idx="883">
                  <c:v>-12.147931572724493</c:v>
                </c:pt>
                <c:pt idx="884">
                  <c:v>-12.157975164587125</c:v>
                </c:pt>
                <c:pt idx="885">
                  <c:v>-12.168018759859878</c:v>
                </c:pt>
                <c:pt idx="886">
                  <c:v>-12.178062358542597</c:v>
                </c:pt>
                <c:pt idx="887">
                  <c:v>-12.188105960635124</c:v>
                </c:pt>
                <c:pt idx="888">
                  <c:v>-12.198149566137303</c:v>
                </c:pt>
                <c:pt idx="889">
                  <c:v>-12.208193175048978</c:v>
                </c:pt>
                <c:pt idx="890">
                  <c:v>-12.218236787369989</c:v>
                </c:pt>
                <c:pt idx="891">
                  <c:v>-12.228280403100182</c:v>
                </c:pt>
                <c:pt idx="892">
                  <c:v>-12.2383240222394</c:v>
                </c:pt>
                <c:pt idx="893">
                  <c:v>-12.248367644787486</c:v>
                </c:pt>
                <c:pt idx="894">
                  <c:v>-12.258411270744283</c:v>
                </c:pt>
                <c:pt idx="895">
                  <c:v>-12.268454900109633</c:v>
                </c:pt>
                <c:pt idx="896">
                  <c:v>-12.278498532883383</c:v>
                </c:pt>
                <c:pt idx="897">
                  <c:v>-12.288542169065373</c:v>
                </c:pt>
                <c:pt idx="898">
                  <c:v>-12.298585808655446</c:v>
                </c:pt>
                <c:pt idx="899">
                  <c:v>-12.308629451653447</c:v>
                </c:pt>
                <c:pt idx="900">
                  <c:v>-12.318673098059218</c:v>
                </c:pt>
                <c:pt idx="901">
                  <c:v>-12.328716747872603</c:v>
                </c:pt>
                <c:pt idx="902">
                  <c:v>-12.338760401093444</c:v>
                </c:pt>
                <c:pt idx="903">
                  <c:v>-12.348804057721585</c:v>
                </c:pt>
                <c:pt idx="904">
                  <c:v>-12.35884771775687</c:v>
                </c:pt>
                <c:pt idx="905">
                  <c:v>-12.368891381199141</c:v>
                </c:pt>
                <c:pt idx="906">
                  <c:v>-12.378935048048243</c:v>
                </c:pt>
                <c:pt idx="907">
                  <c:v>-12.388978718304017</c:v>
                </c:pt>
                <c:pt idx="908">
                  <c:v>-12.399022391966307</c:v>
                </c:pt>
                <c:pt idx="909">
                  <c:v>-12.409066069034957</c:v>
                </c:pt>
                <c:pt idx="910">
                  <c:v>-12.41910974950981</c:v>
                </c:pt>
                <c:pt idx="911">
                  <c:v>-12.429153433390708</c:v>
                </c:pt>
                <c:pt idx="912">
                  <c:v>-12.439197120677495</c:v>
                </c:pt>
                <c:pt idx="913">
                  <c:v>-12.449240811370014</c:v>
                </c:pt>
                <c:pt idx="914">
                  <c:v>-12.45928450546811</c:v>
                </c:pt>
                <c:pt idx="915">
                  <c:v>-12.469328202971626</c:v>
                </c:pt>
                <c:pt idx="916">
                  <c:v>-12.479371903880404</c:v>
                </c:pt>
                <c:pt idx="917">
                  <c:v>-12.489415608194287</c:v>
                </c:pt>
                <c:pt idx="918">
                  <c:v>-12.49945931591312</c:v>
                </c:pt>
                <c:pt idx="919">
                  <c:v>-12.509503027036745</c:v>
                </c:pt>
                <c:pt idx="920">
                  <c:v>-12.519546741565005</c:v>
                </c:pt>
                <c:pt idx="921">
                  <c:v>-12.529590459497744</c:v>
                </c:pt>
                <c:pt idx="922">
                  <c:v>-12.539634180834804</c:v>
                </c:pt>
                <c:pt idx="923">
                  <c:v>-12.549677905576031</c:v>
                </c:pt>
                <c:pt idx="924">
                  <c:v>-12.559721633721265</c:v>
                </c:pt>
                <c:pt idx="925">
                  <c:v>-12.569765365270353</c:v>
                </c:pt>
                <c:pt idx="926">
                  <c:v>-12.579809100223136</c:v>
                </c:pt>
                <c:pt idx="927">
                  <c:v>-12.589852838579455</c:v>
                </c:pt>
                <c:pt idx="928">
                  <c:v>-12.599896580339157</c:v>
                </c:pt>
                <c:pt idx="929">
                  <c:v>-12.609940325502086</c:v>
                </c:pt>
                <c:pt idx="930">
                  <c:v>-12.619984074068082</c:v>
                </c:pt>
                <c:pt idx="931">
                  <c:v>-12.63002782603699</c:v>
                </c:pt>
                <c:pt idx="932">
                  <c:v>-12.640071581408654</c:v>
                </c:pt>
                <c:pt idx="933">
                  <c:v>-12.650115340182914</c:v>
                </c:pt>
                <c:pt idx="934">
                  <c:v>-12.660159102359618</c:v>
                </c:pt>
                <c:pt idx="935">
                  <c:v>-12.670202867938606</c:v>
                </c:pt>
                <c:pt idx="936">
                  <c:v>-12.680246636919723</c:v>
                </c:pt>
                <c:pt idx="937">
                  <c:v>-12.690290409302811</c:v>
                </c:pt>
                <c:pt idx="938">
                  <c:v>-12.700334185087714</c:v>
                </c:pt>
                <c:pt idx="939">
                  <c:v>-12.710377964274276</c:v>
                </c:pt>
                <c:pt idx="940">
                  <c:v>-12.720421746862339</c:v>
                </c:pt>
                <c:pt idx="941">
                  <c:v>-12.730465532851747</c:v>
                </c:pt>
                <c:pt idx="942">
                  <c:v>-12.740509322242344</c:v>
                </c:pt>
                <c:pt idx="943">
                  <c:v>-12.750553115033972</c:v>
                </c:pt>
                <c:pt idx="944">
                  <c:v>-12.760596911226475</c:v>
                </c:pt>
                <c:pt idx="945">
                  <c:v>-12.770640710819697</c:v>
                </c:pt>
                <c:pt idx="946">
                  <c:v>-12.78068451381348</c:v>
                </c:pt>
                <c:pt idx="947">
                  <c:v>-12.790728320207668</c:v>
                </c:pt>
                <c:pt idx="948">
                  <c:v>-12.800772130002104</c:v>
                </c:pt>
                <c:pt idx="949">
                  <c:v>-12.810815943196632</c:v>
                </c:pt>
                <c:pt idx="950">
                  <c:v>-12.820859759791094</c:v>
                </c:pt>
                <c:pt idx="951">
                  <c:v>-12.830903579785335</c:v>
                </c:pt>
                <c:pt idx="952">
                  <c:v>-12.840947403179198</c:v>
                </c:pt>
                <c:pt idx="953">
                  <c:v>-12.850991229972527</c:v>
                </c:pt>
                <c:pt idx="954">
                  <c:v>-12.861035060165165</c:v>
                </c:pt>
                <c:pt idx="955">
                  <c:v>-12.871078893756954</c:v>
                </c:pt>
                <c:pt idx="956">
                  <c:v>-12.881122730747739</c:v>
                </c:pt>
                <c:pt idx="957">
                  <c:v>-12.891166571137363</c:v>
                </c:pt>
                <c:pt idx="958">
                  <c:v>-12.90121041492567</c:v>
                </c:pt>
                <c:pt idx="959">
                  <c:v>-12.9112542621125</c:v>
                </c:pt>
                <c:pt idx="960">
                  <c:v>-12.9212981126977</c:v>
                </c:pt>
                <c:pt idx="961">
                  <c:v>-12.931341966681112</c:v>
                </c:pt>
                <c:pt idx="962">
                  <c:v>-12.94138582406258</c:v>
                </c:pt>
                <c:pt idx="963">
                  <c:v>-12.951429684841948</c:v>
                </c:pt>
                <c:pt idx="964">
                  <c:v>-12.961473549019058</c:v>
                </c:pt>
                <c:pt idx="965">
                  <c:v>-12.971517416593752</c:v>
                </c:pt>
                <c:pt idx="966">
                  <c:v>-12.981561287565876</c:v>
                </c:pt>
                <c:pt idx="967">
                  <c:v>-12.991605161935274</c:v>
                </c:pt>
                <c:pt idx="968">
                  <c:v>-13.001649039701787</c:v>
                </c:pt>
                <c:pt idx="969">
                  <c:v>-13.01169292086526</c:v>
                </c:pt>
                <c:pt idx="970">
                  <c:v>-13.021736805425535</c:v>
                </c:pt>
                <c:pt idx="971">
                  <c:v>-13.031780693382457</c:v>
                </c:pt>
                <c:pt idx="972">
                  <c:v>-13.041824584735869</c:v>
                </c:pt>
                <c:pt idx="973">
                  <c:v>-13.051868479485613</c:v>
                </c:pt>
                <c:pt idx="974">
                  <c:v>-13.061912377631534</c:v>
                </c:pt>
                <c:pt idx="975">
                  <c:v>-13.071956279173476</c:v>
                </c:pt>
                <c:pt idx="976">
                  <c:v>-13.08200018411128</c:v>
                </c:pt>
                <c:pt idx="977">
                  <c:v>-13.092044092444791</c:v>
                </c:pt>
                <c:pt idx="978">
                  <c:v>-13.102088004173853</c:v>
                </c:pt>
                <c:pt idx="979">
                  <c:v>-13.112131919298308</c:v>
                </c:pt>
                <c:pt idx="980">
                  <c:v>-13.122175837818</c:v>
                </c:pt>
                <c:pt idx="981">
                  <c:v>-13.132219759732774</c:v>
                </c:pt>
                <c:pt idx="982">
                  <c:v>-13.142263685042471</c:v>
                </c:pt>
                <c:pt idx="983">
                  <c:v>-13.152307613746935</c:v>
                </c:pt>
                <c:pt idx="984">
                  <c:v>-13.162351545846009</c:v>
                </c:pt>
                <c:pt idx="985">
                  <c:v>-13.172395481339539</c:v>
                </c:pt>
                <c:pt idx="986">
                  <c:v>-13.182439420227366</c:v>
                </c:pt>
                <c:pt idx="987">
                  <c:v>-13.192483362509336</c:v>
                </c:pt>
                <c:pt idx="988">
                  <c:v>-13.202527308185289</c:v>
                </c:pt>
                <c:pt idx="989">
                  <c:v>-13.212571257255071</c:v>
                </c:pt>
                <c:pt idx="990">
                  <c:v>-13.222615209718525</c:v>
                </c:pt>
                <c:pt idx="991">
                  <c:v>-13.232659165575493</c:v>
                </c:pt>
                <c:pt idx="992">
                  <c:v>-13.24270312482582</c:v>
                </c:pt>
                <c:pt idx="993">
                  <c:v>-13.252747087469348</c:v>
                </c:pt>
                <c:pt idx="994">
                  <c:v>-13.262791053505923</c:v>
                </c:pt>
                <c:pt idx="995">
                  <c:v>-13.272835022935388</c:v>
                </c:pt>
                <c:pt idx="996">
                  <c:v>-13.282878995757585</c:v>
                </c:pt>
                <c:pt idx="997">
                  <c:v>-13.292922971972358</c:v>
                </c:pt>
                <c:pt idx="998">
                  <c:v>-13.302966951579551</c:v>
                </c:pt>
                <c:pt idx="999">
                  <c:v>-13.313010934579006</c:v>
                </c:pt>
                <c:pt idx="1000">
                  <c:v>-13.323054920970568</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Pandora (Pro24-6G BS)</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0.02</c:v>
                </c:pt>
                <c:pt idx="2">
                  <c:v>0.04</c:v>
                </c:pt>
                <c:pt idx="3">
                  <c:v>0.62</c:v>
                </c:pt>
                <c:pt idx="4">
                  <c:v>0.66</c:v>
                </c:pt>
                <c:pt idx="5">
                  <c:v>0.68</c:v>
                </c:pt>
                <c:pt idx="6">
                  <c:v>0.8</c:v>
                </c:pt>
                <c:pt idx="7">
                  <c:v>0.84</c:v>
                </c:pt>
                <c:pt idx="8">
                  <c:v>0.88</c:v>
                </c:pt>
                <c:pt idx="9">
                  <c:v>0.92</c:v>
                </c:pt>
                <c:pt idx="10">
                  <c:v>0.96</c:v>
                </c:pt>
                <c:pt idx="11">
                  <c:v>1</c:v>
                </c:pt>
                <c:pt idx="12">
                  <c:v>1.08</c:v>
                </c:pt>
                <c:pt idx="13">
                  <c:v>2</c:v>
                </c:pt>
                <c:pt idx="14">
                  <c:v>2</c:v>
                </c:pt>
                <c:pt idx="15">
                  <c:v>2</c:v>
                </c:pt>
                <c:pt idx="16">
                  <c:v>2</c:v>
                </c:pt>
                <c:pt idx="17">
                  <c:v>2</c:v>
                </c:pt>
                <c:pt idx="18">
                  <c:v>2</c:v>
                </c:pt>
                <c:pt idx="19">
                  <c:v>2</c:v>
                </c:pt>
                <c:pt idx="20">
                  <c:v>2</c:v>
                </c:pt>
                <c:pt idx="21">
                  <c:v>2</c:v>
                </c:pt>
                <c:pt idx="22">
                  <c:v>2</c:v>
                </c:pt>
              </c:numCache>
            </c:numRef>
          </c:xVal>
          <c:yVal>
            <c:numRef>
              <c:f>Propu!$B$4:$X$4</c:f>
              <c:numCache>
                <c:formatCode>General</c:formatCode>
                <c:ptCount val="23"/>
                <c:pt idx="0">
                  <c:v>0</c:v>
                </c:pt>
                <c:pt idx="1">
                  <c:v>250</c:v>
                </c:pt>
                <c:pt idx="2">
                  <c:v>210</c:v>
                </c:pt>
                <c:pt idx="3">
                  <c:v>160</c:v>
                </c:pt>
                <c:pt idx="4">
                  <c:v>150</c:v>
                </c:pt>
                <c:pt idx="5">
                  <c:v>142</c:v>
                </c:pt>
                <c:pt idx="6">
                  <c:v>62</c:v>
                </c:pt>
                <c:pt idx="7">
                  <c:v>48</c:v>
                </c:pt>
                <c:pt idx="8">
                  <c:v>34</c:v>
                </c:pt>
                <c:pt idx="9">
                  <c:v>24</c:v>
                </c:pt>
                <c:pt idx="10">
                  <c:v>15</c:v>
                </c:pt>
                <c:pt idx="11">
                  <c:v>10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val="252"/>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992"/>
</file>

<file path=xl/ctrlProps/ctrlProp12.xml><?xml version="1.0" encoding="utf-8"?>
<formControlPr xmlns="http://schemas.microsoft.com/office/spreadsheetml/2009/9/main" objectType="Spin" dx="15" fmlaLink="$C$12" inc="100" max="30000" noThreeD="1" page="10" val="2595"/>
</file>

<file path=xl/ctrlProps/ctrlProp13.xml><?xml version="1.0" encoding="utf-8"?>
<formControlPr xmlns="http://schemas.microsoft.com/office/spreadsheetml/2009/9/main" objectType="Spin" dx="15" fmlaLink="$C$12" inc="100" max="30000" noThreeD="1" page="10" val="2595"/>
</file>

<file path=xl/ctrlProps/ctrlProp14.xml><?xml version="1.0" encoding="utf-8"?>
<formControlPr xmlns="http://schemas.microsoft.com/office/spreadsheetml/2009/9/main" objectType="Spin" dx="15" fmlaLink="Stabilito!C12" inc="100" max="30000" noThreeD="1" page="10" val="2595"/>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2595"/>
</file>

<file path=xl/ctrlProps/ctrlProp2.xml><?xml version="1.0" encoding="utf-8"?>
<formControlPr xmlns="http://schemas.microsoft.com/office/spreadsheetml/2009/9/main" objectType="Spin" dx="15" fmlaLink="$C$12" inc="100" max="30000" noThreeD="1" page="10" val="2595"/>
</file>

<file path=xl/ctrlProps/ctrlProp20.xml><?xml version="1.0" encoding="utf-8"?>
<formControlPr xmlns="http://schemas.microsoft.com/office/spreadsheetml/2009/9/main" objectType="Spin" dx="15" fmlaLink="Stabilito!C12" inc="100" max="30000" noThreeD="1" page="10" val="2595"/>
</file>

<file path=xl/ctrlProps/ctrlProp3.xml><?xml version="1.0" encoding="utf-8"?>
<formControlPr xmlns="http://schemas.microsoft.com/office/spreadsheetml/2009/9/main" objectType="Spin" dx="15" fmlaLink="$C$13" inc="50" max="30000" noThreeD="1" page="10" val="528"/>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170"/>
</file>

<file path=xl/ctrlProps/ctrlProp6.xml><?xml version="1.0" encoding="utf-8"?>
<formControlPr xmlns="http://schemas.microsoft.com/office/spreadsheetml/2009/9/main" objectType="Spin" dx="15" fmlaLink="$C$29" inc="10" max="30000" noThreeD="1" page="10" val="80"/>
</file>

<file path=xl/ctrlProps/ctrlProp7.xml><?xml version="1.0" encoding="utf-8"?>
<formControlPr xmlns="http://schemas.microsoft.com/office/spreadsheetml/2009/9/main" objectType="Spin" dx="15" fmlaLink="$C$30" inc="10" max="30000" noThreeD="1" page="10" val="120"/>
</file>

<file path=xl/ctrlProps/ctrlProp8.xml><?xml version="1.0" encoding="utf-8"?>
<formControlPr xmlns="http://schemas.microsoft.com/office/spreadsheetml/2009/9/main" objectType="Spin" dx="15" fmlaLink="$C$31" inc="10" max="30000" noThreeD="1" page="10" val="107"/>
</file>

<file path=xl/ctrlProps/ctrlProp9.xml><?xml version="1.0" encoding="utf-8"?>
<formControlPr xmlns="http://schemas.microsoft.com/office/spreadsheetml/2009/9/main" objectType="Spin" dx="15" fmlaLink="$C$32" max="30000" noThreeD="1" page="10" val="3"/>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72074" y="191052"/>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zoomScale="115" zoomScaleNormal="115" zoomScaleSheetLayoutView="100" workbookViewId="0">
      <selection activeCell="C35" sqref="C35"/>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68" t="s">
        <v>53</v>
      </c>
      <c r="D2" s="568"/>
      <c r="L2" s="147" t="str">
        <f>"Language/Langue"</f>
        <v>Language/Langue</v>
      </c>
      <c r="M2" s="544" t="s">
        <v>1</v>
      </c>
      <c r="N2" s="544"/>
      <c r="O2" s="544"/>
      <c r="P2" s="545"/>
      <c r="Q2" s="27"/>
    </row>
    <row r="3" spans="1:20" ht="12.75" customHeight="1" x14ac:dyDescent="0.2">
      <c r="A3" s="25"/>
      <c r="C3" s="568"/>
      <c r="D3" s="568"/>
      <c r="L3" s="555"/>
      <c r="M3" s="555"/>
      <c r="N3" s="45"/>
      <c r="Q3" s="27"/>
    </row>
    <row r="4" spans="1:20" ht="12.75" customHeight="1" x14ac:dyDescent="0.2">
      <c r="A4" s="25"/>
      <c r="C4" s="569" t="str">
        <f>IF(Lang="Français","Stabilité de fusée à ailerons",IF(Lang="English","Stability for rocket with fins",""))</f>
        <v>Stabilité de fusée à ailerons</v>
      </c>
      <c r="D4" s="569"/>
      <c r="L4" s="33"/>
      <c r="M4" s="544" t="s">
        <v>570</v>
      </c>
      <c r="N4" s="544"/>
      <c r="O4" s="544"/>
      <c r="P4" s="545"/>
      <c r="Q4" s="27"/>
    </row>
    <row r="5" spans="1:20" ht="12.75" customHeight="1" x14ac:dyDescent="0.25">
      <c r="A5" s="25"/>
      <c r="B5" s="28"/>
      <c r="C5" s="583"/>
      <c r="D5" s="583"/>
      <c r="L5" s="33"/>
      <c r="M5" s="575" t="s">
        <v>156</v>
      </c>
      <c r="N5" s="576"/>
      <c r="O5" s="558" t="s">
        <v>157</v>
      </c>
      <c r="P5" s="558"/>
      <c r="Q5" s="29"/>
    </row>
    <row r="6" spans="1:20" ht="12.75" customHeight="1" thickBot="1" x14ac:dyDescent="0.25">
      <c r="A6" s="25"/>
      <c r="B6" s="87"/>
      <c r="C6" s="593" t="str">
        <f>IF(Lang="Français","Remplir les cases jaunes",IF(Lang="English","Fill-in yellow cells only",""))</f>
        <v>Remplir les cases jaunes</v>
      </c>
      <c r="D6" s="593"/>
      <c r="L6" s="139" t="str">
        <f>IF(Lang="Français","Longueur      'L'",IF(Lang="English","Length      'L'",""))</f>
        <v>Longueur      'L'</v>
      </c>
      <c r="M6" s="564">
        <v>0</v>
      </c>
      <c r="N6" s="565"/>
      <c r="O6" s="550">
        <v>0</v>
      </c>
      <c r="P6" s="550"/>
      <c r="Q6" s="29"/>
    </row>
    <row r="7" spans="1:20" ht="12.75" customHeight="1" thickTop="1" thickBot="1" x14ac:dyDescent="0.25">
      <c r="A7" s="25"/>
      <c r="B7" s="31"/>
      <c r="C7" s="571" t="str">
        <f>IF(Lang="Français","Fusée",IF(Lang="English","Rocket",""))</f>
        <v>Fusée</v>
      </c>
      <c r="D7" s="572"/>
      <c r="L7" s="139" t="str">
        <f>IF(Lang="Français","Diamètre     'D1'",IF(Lang="English","Diameter 'D1'",""))</f>
        <v>Diamètre     'D1'</v>
      </c>
      <c r="M7" s="564">
        <v>0</v>
      </c>
      <c r="N7" s="565"/>
      <c r="O7" s="550">
        <v>0</v>
      </c>
      <c r="P7" s="550"/>
      <c r="Q7" s="29"/>
    </row>
    <row r="8" spans="1:20" ht="12.75" customHeight="1" thickTop="1" x14ac:dyDescent="0.2">
      <c r="A8" s="25"/>
      <c r="B8" s="138" t="str">
        <f>IF(Lang="Français","Nom",IF(Lang="English","Name",""))</f>
        <v>Nom</v>
      </c>
      <c r="C8" s="594" t="s">
        <v>571</v>
      </c>
      <c r="D8" s="594"/>
      <c r="E8" s="90"/>
      <c r="K8" s="33"/>
      <c r="L8" s="139" t="str">
        <f>IF(Lang="Français","Diamètre     'D2'",IF(Lang="English","Diameter 'D2'",""))</f>
        <v>Diamètre     'D2'</v>
      </c>
      <c r="M8" s="564">
        <v>0</v>
      </c>
      <c r="N8" s="565"/>
      <c r="O8" s="550">
        <v>0</v>
      </c>
      <c r="P8" s="550"/>
      <c r="Q8" s="29"/>
    </row>
    <row r="9" spans="1:20" ht="12.75" customHeight="1" x14ac:dyDescent="0.2">
      <c r="A9" s="25"/>
      <c r="B9" s="138" t="s">
        <v>4</v>
      </c>
      <c r="C9" s="595" t="s">
        <v>568</v>
      </c>
      <c r="D9" s="595"/>
      <c r="E9" s="90"/>
      <c r="K9" s="33"/>
      <c r="L9" s="139" t="str">
        <f>IF(Lang="Français","Implantation 'x'",IF(Lang="English","Basement 'x'",""))</f>
        <v>Implantation 'x'</v>
      </c>
      <c r="M9" s="564">
        <v>0</v>
      </c>
      <c r="N9" s="565"/>
      <c r="O9" s="550">
        <v>0</v>
      </c>
      <c r="P9" s="550"/>
      <c r="Q9" s="29"/>
    </row>
    <row r="10" spans="1:20" ht="12.75" customHeight="1" x14ac:dyDescent="0.2">
      <c r="A10" s="25"/>
      <c r="B10" s="138" t="s">
        <v>563</v>
      </c>
      <c r="C10" s="537" t="str">
        <f>IF((LEFT(Type_fusee,4)="Mini"),"MF",(IF((RIGHT(Type_fusee,1)="."),"FX","")))</f>
        <v/>
      </c>
      <c r="D10" s="538">
        <v>0</v>
      </c>
      <c r="E10" s="539" t="str">
        <f>IF(C10="","",C10&amp;D10)</f>
        <v/>
      </c>
      <c r="K10" s="33"/>
      <c r="Q10" s="29"/>
    </row>
    <row r="11" spans="1:20" ht="12.75" customHeight="1" x14ac:dyDescent="0.2">
      <c r="A11" s="25"/>
      <c r="B11" s="139" t="s">
        <v>54</v>
      </c>
      <c r="C11" s="573" t="s">
        <v>398</v>
      </c>
      <c r="D11" s="574"/>
      <c r="E11" s="90"/>
      <c r="K11" s="33"/>
      <c r="L11" s="107"/>
      <c r="M11" s="224" t="str">
        <f>IF(Lang="Français","Propu plein",IF(Lang="English","Loaded Motor",""))</f>
        <v>Propu plein</v>
      </c>
      <c r="N11" s="556" t="str">
        <f>IF(Lang="Français","Propu vide",IF(Lang="English","Empty Motor",""))</f>
        <v>Propu vide</v>
      </c>
      <c r="O11" s="557"/>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2595</v>
      </c>
      <c r="D12" s="34" t="s">
        <v>423</v>
      </c>
      <c r="L12" s="108" t="str">
        <f>IF(Lang="Français","Masse propu",IF(Lang="English","Motor Mass",""))</f>
        <v>Masse propu</v>
      </c>
      <c r="M12" s="109">
        <f ca="1">MpropuPlein</f>
        <v>0.15989999999999999</v>
      </c>
      <c r="N12" s="548">
        <f ca="1">MpropuVide</f>
        <v>8.43E-2</v>
      </c>
      <c r="O12" s="549"/>
      <c r="P12" s="110" t="s">
        <v>14</v>
      </c>
      <c r="Q12" s="29"/>
      <c r="S12" s="386" t="str">
        <f>IF(Lang="Français","Haut",IF(Lang="English","Top",""))</f>
        <v>Haut</v>
      </c>
      <c r="T12" s="387">
        <f ca="1">XpropuRef-Long_propu</f>
        <v>714</v>
      </c>
    </row>
    <row r="13" spans="1:20" ht="12.75" customHeight="1" x14ac:dyDescent="0.2">
      <c r="A13" s="25"/>
      <c r="B13" s="139" t="str">
        <f>IF(Lang="Français","Centre de Masse",IF(Lang="English","Center of Mass",""))</f>
        <v>Centre de Masse</v>
      </c>
      <c r="C13" s="35">
        <v>528</v>
      </c>
      <c r="D13" s="34" t="s">
        <v>423</v>
      </c>
      <c r="L13" s="108" t="str">
        <f>IF(Lang="Français","CdM propu",IF(Lang="English","Motor CoM",""))</f>
        <v>CdM propu</v>
      </c>
      <c r="M13" s="111">
        <f ca="1">XpropuPlein</f>
        <v>114</v>
      </c>
      <c r="N13" s="546">
        <f ca="1">XpropuVide</f>
        <v>114</v>
      </c>
      <c r="O13" s="547"/>
      <c r="P13" s="110" t="s">
        <v>14</v>
      </c>
      <c r="Q13" s="29"/>
      <c r="S13" s="386" t="str">
        <f>IF(Lang="Français","Longueur",IF(Lang="English","Length",""))</f>
        <v>Longueur</v>
      </c>
      <c r="T13" s="387">
        <f ca="1">Long_propu</f>
        <v>228</v>
      </c>
    </row>
    <row r="14" spans="1:20" ht="12.6" customHeight="1" x14ac:dyDescent="0.2">
      <c r="A14" s="25"/>
      <c r="B14" s="139" t="str">
        <f>IF(Lang="Français","Longueur totale",IF(Lang="English","Total length",""))</f>
        <v>Longueur totale</v>
      </c>
      <c r="C14" s="564">
        <v>992</v>
      </c>
      <c r="D14" s="565"/>
      <c r="L14" s="108" t="str">
        <f>IF(Lang="Français","Masse fusée",IF(Lang="English","Rocket Mass",""))</f>
        <v>Masse fusée</v>
      </c>
      <c r="M14" s="112">
        <f ca="1">MasseSans+MpropuPlein</f>
        <v>2.7549000000000001</v>
      </c>
      <c r="N14" s="577">
        <f ca="1">MasseSans+MpropuVide</f>
        <v>2.6793</v>
      </c>
      <c r="O14" s="578"/>
      <c r="P14" s="109">
        <f>IF(OR(D12="sans propu",D12="without motor"),C12/1000,IF(OR(D12="avec propu vide",D12="with empty motor"),C12/1000-MpropuVide,IF(OR(D12="avec propu plein",D12="with loaded motor"),C12/1000-MpropuPlein,"Erreur")))</f>
        <v>2.5950000000000002</v>
      </c>
      <c r="Q14" s="29"/>
      <c r="S14" s="386" t="str">
        <f>IF(Lang="Français","Bas",IF(Lang="English","Base",""))</f>
        <v>Bas</v>
      </c>
      <c r="T14" s="387">
        <f>XpropuRef</f>
        <v>942</v>
      </c>
    </row>
    <row r="15" spans="1:20" ht="12.75" customHeight="1" x14ac:dyDescent="0.2">
      <c r="A15" s="25"/>
      <c r="B15" s="139" t="str">
        <f>IF(Lang="Français","Diamètre Réf.",IF(Lang="English","Ref. Diameter",""))</f>
        <v>Diamètre Réf.</v>
      </c>
      <c r="C15" s="564">
        <v>84</v>
      </c>
      <c r="D15" s="565"/>
      <c r="L15" s="175" t="str">
        <f>IF(Lang="Français","CdM fusée",IF(Lang="English","Rocket CoM",""))</f>
        <v>CdM fusée</v>
      </c>
      <c r="M15" s="176">
        <f ca="1">(XcgSans*MasseSans+(XpropuRef-Long_propu+XpropuPlein)*MpropuPlein)/MassePlein</f>
        <v>545.41261025808569</v>
      </c>
      <c r="N15" s="579">
        <f ca="1">(XcgSans*MasseSans+(XpropuRef-Long_propu+XpropuVide)*MpropuVide)/MasseVide</f>
        <v>537.43903258313742</v>
      </c>
      <c r="O15" s="580"/>
      <c r="P15" s="113">
        <f>IF(OR(D13="sans propu",D13="without motor"),C13,IF(OR(D13="avec propu vide",D13="with empty motor"),(C13*MasseVide-(XpropuRef-Long_propu+XpropuVide)*MpropuVide)/MasseSans,IF(OR(D13="avec propu plein",D13="with loaded motor"),(C13*MassePlein-(XpropuRef-Long_propu+XpropuPlein)*MpropuPlein)/MasseSans,"Erreur")))</f>
        <v>528</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2" ht="12.75" customHeight="1" thickTop="1" thickBot="1" x14ac:dyDescent="0.25">
      <c r="A17" s="25"/>
      <c r="C17" s="585" t="str">
        <f>IF(Lang="Français","Propulseur",IF(Lang="English","Motor",""))</f>
        <v>Propulseur</v>
      </c>
      <c r="D17" s="586"/>
      <c r="L17" s="114"/>
      <c r="M17" s="581" t="s">
        <v>55</v>
      </c>
      <c r="N17" s="582"/>
      <c r="O17" s="559" t="s">
        <v>65</v>
      </c>
      <c r="P17" s="559"/>
      <c r="Q17" s="29"/>
      <c r="S17" s="386" t="str">
        <f>IF(Lang="Français","Haut","Top")</f>
        <v>Haut</v>
      </c>
      <c r="T17" s="387">
        <f>X_ail-m_ail</f>
        <v>772</v>
      </c>
    </row>
    <row r="18" spans="1:22" ht="12.75" customHeight="1" thickTop="1" x14ac:dyDescent="0.2">
      <c r="A18" s="25"/>
      <c r="B18" s="139" t="s">
        <v>54</v>
      </c>
      <c r="C18" s="587" t="s">
        <v>548</v>
      </c>
      <c r="D18" s="588"/>
      <c r="K18" s="37"/>
      <c r="L18" s="108" t="str">
        <f>IF(Lang="Français","Coiffe",IF(Lang="English","Nose Cone",""))</f>
        <v>Coiffe</v>
      </c>
      <c r="M18" s="553">
        <f>IF(LEFT(Forme_ogive,5)="Parab",1/2*Long_ogive,IF(LEFT(Forme_ogive,4)="Ogiv",7/15*Long_ogive,IF(LEFT(Forme_ogive,3)="Con",2/3*Long_ogive)))</f>
        <v>168</v>
      </c>
      <c r="N18" s="554"/>
      <c r="O18" s="560">
        <f>2*POWER(D_og/D_ref, 2)</f>
        <v>2</v>
      </c>
      <c r="P18" s="560"/>
      <c r="Q18" s="29"/>
      <c r="S18" s="386" t="str">
        <f>IF(Lang="Français","Emplanture","Root edge")</f>
        <v>Emplanture</v>
      </c>
      <c r="T18" s="387">
        <f>m_ail</f>
        <v>170</v>
      </c>
    </row>
    <row r="19" spans="1:22" ht="12.75" customHeight="1" x14ac:dyDescent="0.2">
      <c r="A19" s="25"/>
      <c r="B19" s="139" t="str">
        <f>IF(Lang="Français","Position du bas",IF(Lang="English","Basement",""))</f>
        <v>Position du bas</v>
      </c>
      <c r="C19" s="550">
        <v>942</v>
      </c>
      <c r="D19" s="550"/>
      <c r="L19" s="108" t="str">
        <f>IF(Lang="Français","Ailerons",IF(Lang="English","Fins",""))</f>
        <v>Ailerons</v>
      </c>
      <c r="M19" s="553">
        <f>(XCpa*Cnail-0.5*XCpi*Cni)/Cnai</f>
        <v>857.4</v>
      </c>
      <c r="N19" s="554"/>
      <c r="O19" s="589">
        <f>Cnail-Cni/2</f>
        <v>13.602161052846441</v>
      </c>
      <c r="P19" s="590"/>
      <c r="Q19" s="29"/>
      <c r="S19" s="386" t="str">
        <f>IF(Lang="Français","Bas","Base")</f>
        <v>Bas</v>
      </c>
      <c r="T19" s="387">
        <f>X_ail</f>
        <v>942</v>
      </c>
    </row>
    <row r="20" spans="1:22" ht="12.75" customHeight="1" thickBot="1" x14ac:dyDescent="0.25">
      <c r="A20" s="25"/>
      <c r="B20" s="428" t="str">
        <f>IF(Propu="Cariacou","Cariacou :"," ")</f>
        <v xml:space="preserve"> </v>
      </c>
      <c r="C20" s="563" t="str">
        <f>IF(Propu="Pandora (Pro24-6G)",IF(Lang="Français","C'Space Seulement",IF(Lang="English","C'Space only","")),"")</f>
        <v/>
      </c>
      <c r="D20" s="563"/>
      <c r="L20" s="108" t="str">
        <f>IF(Lang="Français","Ail bas entier",IF(Lang="English","Total Lower Fins",""))</f>
        <v>Ail bas entier</v>
      </c>
      <c r="M20" s="553">
        <f>X_ail-m_ail+p_ail*(m_ail+2*n_ail)/(3*(m_ail+n_ail))+(m_ail+n_ail-m_ail*n_ail/(m_ail+n_ail))/6</f>
        <v>857.4</v>
      </c>
      <c r="N20" s="554"/>
      <c r="O20" s="560">
        <f>4*Q_ail*POWER((E_ail/D_ref),2)*(1+D_ail/(2*E_ail+D_ail))/(1+SQRT(1+POWER(2*f_ail/(m_ail+n_ail),2)))</f>
        <v>13.602161052846441</v>
      </c>
      <c r="P20" s="560"/>
      <c r="Q20" s="29"/>
    </row>
    <row r="21" spans="1:22" ht="12.75" customHeight="1" thickTop="1" thickBot="1" x14ac:dyDescent="0.25">
      <c r="A21" s="25"/>
      <c r="B21" s="30"/>
      <c r="C21" s="591" t="str">
        <f>IF(Lang="Français","Coiffe",IF(Lang="English","Nose Cone",""))</f>
        <v>Coiffe</v>
      </c>
      <c r="D21" s="592"/>
      <c r="L21" s="108" t="str">
        <f>IF(Lang="Français","Ailerons haut",IF(Lang="English","Upper Fins",""))</f>
        <v>Ailerons haut</v>
      </c>
      <c r="M21" s="553">
        <f>IF(LEFT(Type_masquage,1)="M",0, X_can-m_can+p_can*(m_can+2*n_can)/(3*(m_can+n_can))+(m_can+n_can-m_can*n_can/(m_can+n_can))/6)</f>
        <v>0</v>
      </c>
      <c r="N21" s="554"/>
      <c r="O21" s="560">
        <f>IF(LEFT(Type_masquage,1)="M",0, 4*Q_can*POWER((E_can/D_ref),2)*(1+D_can/(2*E_can+D_can))/(1+SQRT(1+POWER(2*f_can/(m_can+n_can),2))))</f>
        <v>0</v>
      </c>
      <c r="P21" s="560"/>
      <c r="Q21" s="29"/>
    </row>
    <row r="22" spans="1:22" ht="12.75" customHeight="1" thickTop="1" x14ac:dyDescent="0.2">
      <c r="A22" s="25"/>
      <c r="B22" s="139" t="str">
        <f>IF(Lang="Français","Forme",IF(Lang="English","Shape",""))</f>
        <v>Forme</v>
      </c>
      <c r="C22" s="566" t="s">
        <v>569</v>
      </c>
      <c r="D22" s="567"/>
      <c r="L22" s="108" t="str">
        <f>IF(Lang="Français","Partie masquée",IF(Lang="English","Interation zone",""))</f>
        <v>Partie masquée</v>
      </c>
      <c r="M22" s="570">
        <f>IF(LEFT(Type_masquage,1)="B", X_int-m_int+p_int*(m_int+2*n_int)/(3*(m_int+n_int))+(m_int+n_int-m_int*n_int/(m_int+n_int))/6, 0 )</f>
        <v>0</v>
      </c>
      <c r="N22" s="570"/>
      <c r="O22" s="589">
        <f>IF(LEFT(Type_masquage,1)="B", 4*Q_int*POWER((E_int/D_ref),2)*(1+D_int/(2*E_int+D_int))/(1+SQRT(1+POWER(2*f_int/(m_int+n_int),2))), 0 )</f>
        <v>0</v>
      </c>
      <c r="P22" s="590"/>
      <c r="Q22" s="29"/>
    </row>
    <row r="23" spans="1:22" ht="12.75" customHeight="1" x14ac:dyDescent="0.2">
      <c r="A23" s="25"/>
      <c r="B23" s="139" t="str">
        <f>IF(Lang="Français","Hauteur",IF(Lang="English","Heigth",""))</f>
        <v>Hauteur</v>
      </c>
      <c r="C23" s="564">
        <v>252</v>
      </c>
      <c r="D23" s="565"/>
      <c r="L23" s="108" t="s">
        <v>156</v>
      </c>
      <c r="M23" s="553">
        <f>IF(OR(RIGHT(Nb_diam,1)=",",D2j=0),0, X_j+l_j/3*(1+1/(1+D1j/D2j)) )</f>
        <v>0</v>
      </c>
      <c r="N23" s="554"/>
      <c r="O23" s="560">
        <f>IF(OR(RIGHT(Nb_diam,1)=",",D2j=0),0,2*(POWER(D2j/D_ref,2)-POWER(D1j/D_ref,2)))</f>
        <v>0</v>
      </c>
      <c r="P23" s="560"/>
      <c r="Q23" s="29"/>
    </row>
    <row r="24" spans="1:22" ht="12.75" customHeight="1" thickBot="1" x14ac:dyDescent="0.25">
      <c r="A24" s="25"/>
      <c r="B24" s="139" t="str">
        <f>IF(Lang="Français","Diamètre",IF(Lang="English","Diameter",""))</f>
        <v>Diamètre</v>
      </c>
      <c r="C24" s="564">
        <v>84</v>
      </c>
      <c r="D24" s="565"/>
      <c r="L24" s="108" t="s">
        <v>157</v>
      </c>
      <c r="M24" s="553">
        <f>IF( OR(RIGHT(Nb_diam,1)=",",D2r=0), 0, X_r+l_r/3*(1+1/(1+D1r/D2r)) )</f>
        <v>0</v>
      </c>
      <c r="N24" s="554"/>
      <c r="O24" s="560">
        <f>IF( OR(RIGHT(Nb_diam,1)=",",D2r=0), 0, 2*(POWER(D2r/D_ref,2)-POWER(D1r/D_ref,2)) )</f>
        <v>0</v>
      </c>
      <c r="P24" s="560"/>
      <c r="Q24" s="29"/>
    </row>
    <row r="25" spans="1:22" ht="12.75" customHeight="1" thickBot="1" x14ac:dyDescent="0.25">
      <c r="A25" s="25"/>
      <c r="E25" s="180" t="s">
        <v>151</v>
      </c>
      <c r="L25" s="38"/>
      <c r="M25" s="38"/>
      <c r="N25" s="38"/>
      <c r="Q25" s="29"/>
      <c r="R25" s="38"/>
      <c r="S25" s="388" t="str">
        <f ca="1">IF(AND(Portee_balistique&gt;200,LEFT(Type_propu,3)="Min"),IF(Lang="Français","Fusée trop lègère !","Rocket too light"),"")</f>
        <v>Fusée trop lègère !</v>
      </c>
    </row>
    <row r="26" spans="1:22" ht="12.75" customHeight="1" thickTop="1" thickBot="1" x14ac:dyDescent="0.25">
      <c r="A26" s="25"/>
      <c r="B26" s="30"/>
      <c r="C26" s="178" t="str">
        <f>IF(LEFT(Type_masquage,1)="M",IF(Lang="Français","Ailerons","Fins"),IF(Lang="Français","Ailerons bas","Lower Fins"))</f>
        <v>Ailerons</v>
      </c>
      <c r="D26" s="179" t="str">
        <f>IF(Lang="Français","Ailerons haut",IF(Lang="English","Upper Fins",""))</f>
        <v>Ailerons haut</v>
      </c>
      <c r="F26" s="39">
        <f ca="1">TODAY()</f>
        <v>45931</v>
      </c>
      <c r="G26" s="137" t="s">
        <v>62</v>
      </c>
      <c r="H26" s="584" t="str">
        <f>IF(Lang="Français","Résultats",IF(Lang="English","Results",""))</f>
        <v>Résultats</v>
      </c>
      <c r="I26" s="584"/>
      <c r="J26" s="137" t="s">
        <v>63</v>
      </c>
      <c r="K26" s="32"/>
      <c r="L26" s="38"/>
      <c r="M26" s="38"/>
      <c r="N26" s="38"/>
      <c r="Q26" s="29"/>
      <c r="R26" s="38"/>
      <c r="S26" s="388" t="e">
        <f ca="1">IF(AND(Vsortie_de_rampe&lt;18, OR(LEFT(Type_fusee,1)=",",LEFT(Type_fusee,4)="Mini",LEFT(Type_fusee,1)="R")),IF(Lang="Français","Fusée trop lourde ou rampe trop courte !","Rocket too heavy or launch pad too small!"),"")</f>
        <v>#N/A</v>
      </c>
    </row>
    <row r="27" spans="1:22" ht="12.75" customHeight="1" thickTop="1" x14ac:dyDescent="0.2">
      <c r="A27" s="25"/>
      <c r="B27" s="30"/>
      <c r="C27" s="561" t="s">
        <v>424</v>
      </c>
      <c r="D27" s="562"/>
      <c r="E27" s="146">
        <f>m_ail</f>
        <v>170</v>
      </c>
      <c r="F27" s="105" t="s">
        <v>64</v>
      </c>
      <c r="G27" s="104">
        <f>IF(RIGHT(Type_fusee,1)=".",10, IF(OR(LEFT(Type_fusee,1)="R",LEFT(Type_fusee,1)=",",LEFT(Type_fusee,4)="Mini"),10, IF(LEFT(Type_fusee,5)="Micro",10, IF(RIGHT(Type_fusee,1)=" ",1))))</f>
        <v>10</v>
      </c>
      <c r="H27" s="551">
        <f>Long_tot/D_ref</f>
        <v>11.80952380952381</v>
      </c>
      <c r="I27" s="552"/>
      <c r="J27" s="104">
        <f>IF(RIGHT(Type_fusee,1)=".",35, IF(OR(LEFT(Type_fusee,1)="R",LEFT(Type_fusee,1)=",",LEFT(Type_fusee,4)="Mini"),20, IF(LEFT(Type_fusee,5)="Micro",30, IF(RIGHT(Type_fusee,1)=" ",100))))</f>
        <v>20</v>
      </c>
      <c r="K27" s="32"/>
      <c r="L27" s="38"/>
      <c r="M27" s="38"/>
      <c r="N27" s="38"/>
      <c r="Q27" s="29"/>
      <c r="R27" s="38"/>
      <c r="S27" s="388" t="str">
        <f>IF(Finesse&lt;CritFinessemin, IF(Lang="Français","Fusée trop courte !","Rocket too short!"), "" ) &amp; IF(Finesse&gt;CritFinessemax, IF(Lang="Français","Fusée trop longue !","Rocket too long!"), "" )</f>
        <v/>
      </c>
    </row>
    <row r="28" spans="1:22" ht="12.75" customHeight="1" x14ac:dyDescent="0.2">
      <c r="A28" s="25"/>
      <c r="B28" s="524" t="str">
        <f>IF(Lang="Français"," Emplanture  'm'",IF(Lang="English"," Root edge  'm'",""))</f>
        <v xml:space="preserve"> Emplanture  'm'</v>
      </c>
      <c r="C28" s="177">
        <v>170</v>
      </c>
      <c r="D28" s="177">
        <v>180</v>
      </c>
      <c r="E28" s="146">
        <f>n_ail+(m_ail-n_ail)*(1-E_int/E_ail)</f>
        <v>80</v>
      </c>
      <c r="F28" s="105" t="str">
        <f>IF(Lang="Français","Portance","Lift")</f>
        <v>Portance</v>
      </c>
      <c r="G28" s="104">
        <f>IF(RIGHT(Type_fusee,1)=".",15,IF(OR(LEFT(Type_fusee,1)="R",LEFT(Type_fusee,1)=",",LEFT(Type_fusee,4)="Mini"),15, IF(LEFT(Type_fusee,5)="Micro",15, IF(RIGHT(Type_fusee,1)=" ",15))))</f>
        <v>15</v>
      </c>
      <c r="H28" s="508">
        <f>Cnai+Cnc+Cno+Cnj+Cnr</f>
        <v>15.602161052846441</v>
      </c>
      <c r="I28" s="508">
        <f>Cnail+Cnc+Cno+Cnj+Cnr</f>
        <v>15.602161052846441</v>
      </c>
      <c r="J28" s="104">
        <f>IF(RIGHT(Type_fusee,1)=".",40, IF(OR(LEFT(Type_fusee,1)="R",LEFT(Type_fusee,1)=",",LEFT(Type_fusee,4)="Mini"),30, IF(LEFT(Type_fusee,5)="Micro",30, IF(RIGHT(Type_fusee,1)=" ",30))))</f>
        <v>30</v>
      </c>
      <c r="K28" s="32"/>
      <c r="L28" s="38"/>
      <c r="M28" s="38"/>
      <c r="N28" s="38"/>
      <c r="Q28" s="29"/>
      <c r="R28" s="38"/>
      <c r="S28" s="388" t="str">
        <f>IF(Cn&lt;CritCnmin, IF(Lang="Français","Ailerons trop petits !","Fins too small!"), "" ) &amp; IF(Cn&gt;CritCnmax, IF(Lang="Français","Ailerons trop grands !","Fins too big!"), "" )</f>
        <v/>
      </c>
    </row>
    <row r="29" spans="1:22" ht="12.75" customHeight="1" x14ac:dyDescent="0.2">
      <c r="A29" s="25"/>
      <c r="B29" s="524" t="str">
        <f>IF(Lang="Français"," Saumon       'n'",IF(Lang="English"," Tip edge    'n'",""))</f>
        <v xml:space="preserve"> Saumon       'n'</v>
      </c>
      <c r="C29" s="35">
        <v>80</v>
      </c>
      <c r="D29" s="35">
        <v>80</v>
      </c>
      <c r="E29" s="146">
        <f>p_ail*E_int/E_ail</f>
        <v>120</v>
      </c>
      <c r="F29" s="515" t="str">
        <f>IF(Lang="Français","MargeStat.","StatMargin")</f>
        <v>MargeStat.</v>
      </c>
      <c r="G29" s="510">
        <f>IF(RIGHT(Type_fusee,1)=".",2, IF(OR(LEFT(Type_fusee,1)="R",LEFT(Type_fusee,1)=",",LEFT(Type_fusee,4)="Mini"),1.5, IF(LEFT(Type_fusee,5)="Micro",1, IF(RIGHT(Type_fusee,1)=" ",1))))</f>
        <v>1.5</v>
      </c>
      <c r="H29" s="97">
        <f ca="1">(XCp-XcgPlein)/D_ref</f>
        <v>2.6620835297181098</v>
      </c>
      <c r="I29" s="98">
        <f ca="1">(XCp0-XcgVide)/D_ref</f>
        <v>2.7570070734674941</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
      </c>
      <c r="U29" s="24" t="s">
        <v>572</v>
      </c>
    </row>
    <row r="30" spans="1:22" ht="12.75" customHeight="1" x14ac:dyDescent="0.2">
      <c r="A30" s="25"/>
      <c r="B30" s="524" t="str">
        <f>IF(Lang="Français"," Flèche          'p'"," Offset         'p'")</f>
        <v xml:space="preserve"> Flèche          'p'</v>
      </c>
      <c r="C30" s="35">
        <v>120</v>
      </c>
      <c r="D30" s="35">
        <v>160</v>
      </c>
      <c r="E30" s="146">
        <f>IF(D_can/2+E_can&lt;=D_ail/2,0, IF(D_can/2+E_can&gt;=D_ail/2+E_ail,E_ail,  D_can/2+E_can - D_ail/2  ) )</f>
        <v>107</v>
      </c>
      <c r="F30" s="516" t="str">
        <f>IF(Lang="Français","Couple","Torque")</f>
        <v>Couple</v>
      </c>
      <c r="G30" s="511">
        <f>IF(RIGHT(Type_fusee,1)=".",40, IF(OR(LEFT(Type_fusee,1)="R",LEFT(Type_fusee,1)=",",LEFT(Type_fusee,4)="Mini"),30, IF(LEFT(Type_fusee,5)="Micro",15, IF(RIGHT(Type_fusee,1)=" ",15))))</f>
        <v>30</v>
      </c>
      <c r="H30" s="99">
        <f ca="1">MS_min*Cn</f>
        <v>41.534255966791875</v>
      </c>
      <c r="I30" s="96">
        <f ca="1">MS_max*Cn0</f>
        <v>43.015268384076684</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
      </c>
      <c r="U30" s="24" t="s">
        <v>573</v>
      </c>
      <c r="V30" s="24" t="s">
        <v>574</v>
      </c>
    </row>
    <row r="31" spans="1:22" ht="12.75" customHeight="1" x14ac:dyDescent="0.2">
      <c r="A31" s="25"/>
      <c r="B31" s="524" t="str">
        <f>IF(Lang="Français"," Envergure     'E'",IF(Lang="English"," Span          'E'",""))</f>
        <v xml:space="preserve"> Envergure     'E'</v>
      </c>
      <c r="C31" s="35">
        <v>107</v>
      </c>
      <c r="D31" s="35">
        <v>110</v>
      </c>
      <c r="E31" s="146">
        <f>ep_ail</f>
        <v>3</v>
      </c>
      <c r="F31" s="106" t="s">
        <v>55</v>
      </c>
      <c r="G31" s="103"/>
      <c r="H31" s="509">
        <f>(Cnai*XCpai+Cnc*XCpc+Cnj*XCpj+Cnr*XCpr+Cno*XCpo)/(Cnai+Cnc+Cnr+Cnj+Cno)</f>
        <v>769.02762675440692</v>
      </c>
      <c r="I31" s="509">
        <f>(Cnail*XCpa+Cnc*XCpc+Cnj*XCpj+Cnr*XCpr+Cno*XCpo)/(Cnail+Cnc+Cnr+Cnj+Cno)</f>
        <v>769.02762675440692</v>
      </c>
      <c r="J31" s="102"/>
      <c r="K31" s="32"/>
      <c r="Q31" s="29"/>
      <c r="R31" s="38"/>
      <c r="S31" s="388"/>
      <c r="U31" s="24">
        <v>3.52</v>
      </c>
      <c r="V31" s="24">
        <v>15.795999999999999</v>
      </c>
    </row>
    <row r="32" spans="1:22" ht="12.75" customHeight="1" x14ac:dyDescent="0.2">
      <c r="A32" s="25"/>
      <c r="B32" s="525" t="str">
        <f>IF(Lang="Français"," Epaisseur     'ep'",IF(Lang="English"," Thickness  'ep'",""))</f>
        <v xml:space="preserve"> Epaisseur     'ep'</v>
      </c>
      <c r="C32" s="35">
        <v>3</v>
      </c>
      <c r="D32" s="35">
        <v>4</v>
      </c>
      <c r="E32" s="146">
        <f>IF(Q_ail=Q_can,Q_ail,FALSE)</f>
        <v>4</v>
      </c>
      <c r="F32" s="106" t="s">
        <v>66</v>
      </c>
      <c r="G32" s="103"/>
      <c r="H32" s="100">
        <f ca="1">(XCp-XcgPlein)/Long_tot*100</f>
        <v>22.541836340354962</v>
      </c>
      <c r="I32" s="101">
        <f ca="1">(XCp-XcgVide)/Long_tot*100</f>
        <v>23.345624412426361</v>
      </c>
      <c r="J32" s="102"/>
      <c r="K32" s="32"/>
      <c r="Q32" s="29"/>
      <c r="R32" s="38"/>
      <c r="U32" s="24">
        <v>3.64</v>
      </c>
      <c r="V32" s="24">
        <v>15.795999999999999</v>
      </c>
    </row>
    <row r="33" spans="1:23" ht="12.75" customHeight="1" x14ac:dyDescent="0.2">
      <c r="A33" s="25"/>
      <c r="B33" s="524" t="str">
        <f>IF(Lang="Français"," Nombre            ",IF(Lang="English"," Number of fins",""))</f>
        <v xml:space="preserve"> Nombre            </v>
      </c>
      <c r="C33" s="36">
        <v>4</v>
      </c>
      <c r="D33" s="36">
        <v>4</v>
      </c>
      <c r="E33" s="146">
        <f>X_ail</f>
        <v>942</v>
      </c>
      <c r="G33" s="24"/>
      <c r="H33" s="540" t="str">
        <f ca="1">IF(AND(CritCnmin&lt;Cn,Cn0&lt;CritCnmax,CritMsmin&lt;MS_min,MS_max&lt;CritMsmax,CritMsCnmin&lt;MS_Cn_min,MS_Cn_max&lt;CritMsCnmax),"STABLE",IF(OR(Cn&lt;CritCnmin,MS_min&lt;CritMsmin,MS_Cn_min&lt;CritMsCnmin),"INSTABLE",IF(Lang="Français","SURSTABLE","OVERSTABLE")))</f>
        <v>STABLE</v>
      </c>
      <c r="I33" s="541"/>
      <c r="J33" s="31"/>
      <c r="K33" s="32"/>
      <c r="Q33" s="29"/>
      <c r="R33" s="38"/>
    </row>
    <row r="34" spans="1:23" ht="12.75" customHeight="1" x14ac:dyDescent="0.2">
      <c r="A34" s="25"/>
      <c r="B34" s="524" t="str">
        <f>IF(Lang="Français"," Position du bas",IF(Lang="English"," Basement",""))</f>
        <v xml:space="preserve"> Position du bas</v>
      </c>
      <c r="C34" s="35">
        <v>942</v>
      </c>
      <c r="D34" s="35">
        <v>1250</v>
      </c>
      <c r="E34" s="146">
        <f>D_ail</f>
        <v>84</v>
      </c>
      <c r="G34" s="24"/>
      <c r="H34" s="542"/>
      <c r="I34" s="543"/>
      <c r="K34" s="32"/>
      <c r="Q34" s="29"/>
      <c r="R34" s="38"/>
    </row>
    <row r="35" spans="1:23" ht="12.75" customHeight="1" x14ac:dyDescent="0.2">
      <c r="A35" s="25"/>
      <c r="B35" s="524" t="str">
        <f>IF(Lang="Français"," Diamètre         ",IF(Lang="English"," Diameter at Fins",""))</f>
        <v xml:space="preserve"> Diamètre         </v>
      </c>
      <c r="C35" s="35">
        <v>84</v>
      </c>
      <c r="D35" s="35">
        <f>D_ref</f>
        <v>84</v>
      </c>
      <c r="E35" s="146">
        <f>SQRT(POWER(p_int+n_int/2-m_int/2,2)+POWER(E_int,2))</f>
        <v>130.66751700403586</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130.66751700403586</v>
      </c>
      <c r="D36" s="145">
        <f>SQRT(POWER(p_can+n_can/2-m_can/2,2)+POWER(E_can,2))</f>
        <v>155.56349186104046</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567</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424</v>
      </c>
      <c r="H111" s="43"/>
      <c r="I111" s="44"/>
      <c r="J111" s="43"/>
      <c r="L111" s="43"/>
      <c r="M111" s="43"/>
      <c r="N111" s="43"/>
      <c r="Q111" s="43"/>
      <c r="R111" s="43"/>
    </row>
    <row r="112" spans="2:18" x14ac:dyDescent="0.2">
      <c r="B112" s="38" t="s">
        <v>425</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-252</v>
      </c>
      <c r="D124" s="46">
        <v>0</v>
      </c>
      <c r="E124" s="93">
        <f t="shared" ref="E124:E136" si="0">-D124</f>
        <v>0</v>
      </c>
      <c r="K124" s="46"/>
    </row>
    <row r="125" spans="2:18" x14ac:dyDescent="0.2">
      <c r="B125" s="45" t="s">
        <v>72</v>
      </c>
      <c r="C125" s="46">
        <f>-Long_ogive</f>
        <v>-252</v>
      </c>
      <c r="D125" s="46">
        <f>D_og/2</f>
        <v>42</v>
      </c>
      <c r="E125" s="93">
        <f t="shared" si="0"/>
        <v>-42</v>
      </c>
      <c r="K125" s="46"/>
    </row>
    <row r="126" spans="2:18" x14ac:dyDescent="0.2">
      <c r="B126" s="45" t="s">
        <v>73</v>
      </c>
      <c r="C126" s="46">
        <f>IF(AND(RIGHT(Nb_diam,1)=".",X_j), -X_j, C125 )</f>
        <v>-252</v>
      </c>
      <c r="D126" s="46">
        <f>IF(AND(RIGHT(Nb_diam,1)=".",X_j), D1j/2, D125 )</f>
        <v>42</v>
      </c>
      <c r="E126" s="93">
        <f t="shared" si="0"/>
        <v>-42</v>
      </c>
      <c r="K126" s="46"/>
    </row>
    <row r="127" spans="2:18" x14ac:dyDescent="0.2">
      <c r="B127" s="45" t="s">
        <v>74</v>
      </c>
      <c r="C127" s="46">
        <f>IF(AND(RIGHT(Nb_diam,1)=".",X_j), -X_j-l_j, C126 )</f>
        <v>-252</v>
      </c>
      <c r="D127" s="46">
        <f>IF(AND(RIGHT(Nb_diam,1)=".",X_j), D2j/2, D126 )</f>
        <v>42</v>
      </c>
      <c r="E127" s="93">
        <f t="shared" si="0"/>
        <v>-42</v>
      </c>
      <c r="K127" s="46"/>
    </row>
    <row r="128" spans="2:18" x14ac:dyDescent="0.2">
      <c r="B128" s="45" t="s">
        <v>75</v>
      </c>
      <c r="C128" s="46">
        <f>IF(AND(RIGHT(Nb_diam,1)=".",X_r), -X_r, C127 )</f>
        <v>-252</v>
      </c>
      <c r="D128" s="46">
        <f>IF(AND(RIGHT(Nb_diam,1)=".",X_r), D1r/2, D127 )</f>
        <v>42</v>
      </c>
      <c r="E128" s="93">
        <f t="shared" si="0"/>
        <v>-42</v>
      </c>
      <c r="K128" s="46"/>
    </row>
    <row r="129" spans="2:11" x14ac:dyDescent="0.2">
      <c r="B129" s="45" t="s">
        <v>76</v>
      </c>
      <c r="C129" s="46">
        <f>IF(AND(RIGHT(Nb_diam,1)=".",X_r), -X_r-l_r, C128 )</f>
        <v>-252</v>
      </c>
      <c r="D129" s="46">
        <f>IF(AND(RIGHT(Nb_diam,1)=".",X_r), D2r/2, D128 )</f>
        <v>42</v>
      </c>
      <c r="E129" s="93">
        <f t="shared" si="0"/>
        <v>-42</v>
      </c>
      <c r="K129" s="46"/>
    </row>
    <row r="130" spans="2:11" x14ac:dyDescent="0.2">
      <c r="B130" s="45" t="s">
        <v>77</v>
      </c>
      <c r="C130" s="46">
        <f>-Long_tot</f>
        <v>-992</v>
      </c>
      <c r="D130" s="46">
        <f>D129</f>
        <v>42</v>
      </c>
      <c r="E130" s="93">
        <f t="shared" si="0"/>
        <v>-42</v>
      </c>
      <c r="K130" s="46"/>
    </row>
    <row r="131" spans="2:11" x14ac:dyDescent="0.2">
      <c r="B131" s="45" t="s">
        <v>77</v>
      </c>
      <c r="C131" s="46">
        <f>-Long_tot</f>
        <v>-992</v>
      </c>
      <c r="D131" s="46">
        <v>0</v>
      </c>
      <c r="E131" s="93">
        <f t="shared" si="0"/>
        <v>0</v>
      </c>
      <c r="K131" s="46"/>
    </row>
    <row r="132" spans="2:11" x14ac:dyDescent="0.2">
      <c r="B132" s="183" t="s">
        <v>78</v>
      </c>
      <c r="C132" s="197">
        <f>-X_ail+m_ail</f>
        <v>-772</v>
      </c>
      <c r="D132" s="197">
        <f>D_ail/2</f>
        <v>42</v>
      </c>
      <c r="E132" s="198">
        <f t="shared" si="0"/>
        <v>-42</v>
      </c>
      <c r="K132" s="46"/>
    </row>
    <row r="133" spans="2:11" x14ac:dyDescent="0.2">
      <c r="B133" s="185" t="s">
        <v>79</v>
      </c>
      <c r="C133" s="46">
        <f>-X_ail+m_ail-p_ail</f>
        <v>-892</v>
      </c>
      <c r="D133" s="46">
        <f>D_ail/2+E_ail</f>
        <v>149</v>
      </c>
      <c r="E133" s="199">
        <f t="shared" si="0"/>
        <v>-149</v>
      </c>
      <c r="K133" s="46"/>
    </row>
    <row r="134" spans="2:11" x14ac:dyDescent="0.2">
      <c r="B134" s="185" t="s">
        <v>80</v>
      </c>
      <c r="C134" s="46">
        <f>-X_ail+m_ail-p_ail-n_ail</f>
        <v>-972</v>
      </c>
      <c r="D134" s="46">
        <f>D_ail/2+E_ail</f>
        <v>149</v>
      </c>
      <c r="E134" s="199">
        <f t="shared" si="0"/>
        <v>-149</v>
      </c>
      <c r="K134" s="46"/>
    </row>
    <row r="135" spans="2:11" x14ac:dyDescent="0.2">
      <c r="B135" s="185" t="s">
        <v>81</v>
      </c>
      <c r="C135" s="46">
        <f>-X_ail</f>
        <v>-942</v>
      </c>
      <c r="D135" s="46">
        <f>D_ail/2</f>
        <v>42</v>
      </c>
      <c r="E135" s="199">
        <f t="shared" si="0"/>
        <v>-42</v>
      </c>
      <c r="K135" s="46"/>
    </row>
    <row r="136" spans="2:11" x14ac:dyDescent="0.2">
      <c r="B136" s="187" t="s">
        <v>78</v>
      </c>
      <c r="C136" s="200">
        <f>-X_ail+m_ail</f>
        <v>-772</v>
      </c>
      <c r="D136" s="200">
        <f>D_ail/2</f>
        <v>42</v>
      </c>
      <c r="E136" s="201">
        <f t="shared" si="0"/>
        <v>-42</v>
      </c>
      <c r="K136" s="46"/>
    </row>
    <row r="137" spans="2:11" x14ac:dyDescent="0.2">
      <c r="B137" s="192" t="str">
        <f>IF(E_ail&gt;0,IF(Lang="Français","Envergure","Span"),"")</f>
        <v>Envergure</v>
      </c>
      <c r="C137" s="197">
        <f>MIN(-X_ail,-X_ail+m_ail-p_ail-n_ail)-Long_tot/30</f>
        <v>-1005.0666666666667</v>
      </c>
      <c r="D137" s="207">
        <f>-D_ail/2-E_ail</f>
        <v>-149</v>
      </c>
      <c r="E137" s="93"/>
      <c r="K137" s="46"/>
    </row>
    <row r="138" spans="2:11" x14ac:dyDescent="0.2">
      <c r="B138" s="195" t="s">
        <v>166</v>
      </c>
      <c r="C138" s="46">
        <f>MIN(-X_ail,-X_ail+m_ail-p_ail-n_ail)-Long_tot/30</f>
        <v>-1005.0666666666667</v>
      </c>
      <c r="D138" s="208">
        <f>-D_ail/2-E_ail/2</f>
        <v>-95.5</v>
      </c>
      <c r="E138" s="93"/>
      <c r="K138" s="46"/>
    </row>
    <row r="139" spans="2:11" x14ac:dyDescent="0.2">
      <c r="B139" s="212" t="s">
        <v>162</v>
      </c>
      <c r="C139" s="200">
        <f>MIN(-X_ail,-X_ail+m_ail-p_ail-n_ail)-Long_tot/30</f>
        <v>-1005.0666666666667</v>
      </c>
      <c r="D139" s="209">
        <f>-D_ail/2</f>
        <v>-42</v>
      </c>
      <c r="E139" s="93"/>
      <c r="K139" s="46"/>
    </row>
    <row r="140" spans="2:11" x14ac:dyDescent="0.2">
      <c r="B140" s="192" t="str">
        <f>IF(Lang="Français","Emplanture","Root edge")</f>
        <v>Emplanture</v>
      </c>
      <c r="C140" s="197">
        <f>-X_ail+m_ail</f>
        <v>-772</v>
      </c>
      <c r="D140" s="207">
        <f>D_ail/2+E_ail+Long_tot/20</f>
        <v>198.6</v>
      </c>
      <c r="E140" s="93"/>
      <c r="K140" s="46"/>
    </row>
    <row r="141" spans="2:11" x14ac:dyDescent="0.2">
      <c r="B141" s="195" t="s">
        <v>168</v>
      </c>
      <c r="C141" s="46">
        <f>-X_ail+m_ail/2</f>
        <v>-857</v>
      </c>
      <c r="D141" s="208">
        <f>D_ail/2+E_ail+Long_tot/20</f>
        <v>198.6</v>
      </c>
      <c r="E141" s="93"/>
      <c r="K141" s="46"/>
    </row>
    <row r="142" spans="2:11" x14ac:dyDescent="0.2">
      <c r="B142" s="212" t="s">
        <v>169</v>
      </c>
      <c r="C142" s="200">
        <f>-X_ail</f>
        <v>-942</v>
      </c>
      <c r="D142" s="209">
        <f>D_ail/2+E_ail+Long_tot/20</f>
        <v>198.6</v>
      </c>
      <c r="E142" s="93"/>
      <c r="K142" s="46"/>
    </row>
    <row r="143" spans="2:11" x14ac:dyDescent="0.2">
      <c r="B143" s="192" t="str">
        <f>IF(p_ail&lt;&gt;0,IF(Lang="Français","Flèche","Offset"),"")</f>
        <v>Flèche</v>
      </c>
      <c r="C143" s="197">
        <f>-X_ail+m_ail</f>
        <v>-772</v>
      </c>
      <c r="D143" s="207">
        <f>-D_ail/2-E_ail-Long_tot/30</f>
        <v>-182.06666666666666</v>
      </c>
      <c r="E143" s="93"/>
      <c r="K143" s="46"/>
    </row>
    <row r="144" spans="2:11" x14ac:dyDescent="0.2">
      <c r="B144" s="195" t="s">
        <v>165</v>
      </c>
      <c r="C144" s="46">
        <f>-X_ail+m_ail-p_ail/2</f>
        <v>-832</v>
      </c>
      <c r="D144" s="208">
        <f>-D_ail/2-E_ail-Long_tot/30</f>
        <v>-182.06666666666666</v>
      </c>
      <c r="E144" s="93"/>
      <c r="K144" s="46"/>
    </row>
    <row r="145" spans="2:11" x14ac:dyDescent="0.2">
      <c r="B145" s="212" t="s">
        <v>163</v>
      </c>
      <c r="C145" s="200">
        <f>-X_ail+m_ail-p_ail</f>
        <v>-892</v>
      </c>
      <c r="D145" s="209">
        <f>-D_ail/2-E_ail-Long_tot/30</f>
        <v>-182.06666666666666</v>
      </c>
      <c r="E145" s="93"/>
      <c r="K145" s="46"/>
    </row>
    <row r="146" spans="2:11" x14ac:dyDescent="0.2">
      <c r="B146" s="192" t="str">
        <f>IF(n_ail&gt;0,IF(Lang="Français","Saumon","Tip edge"),"")</f>
        <v>Saumon</v>
      </c>
      <c r="C146" s="197">
        <f>-X_ail+m_ail-p_ail</f>
        <v>-892</v>
      </c>
      <c r="D146" s="207">
        <f>-D_ail/2-E_ail-Long_tot/20</f>
        <v>-198.6</v>
      </c>
      <c r="E146" s="93"/>
      <c r="K146" s="46"/>
    </row>
    <row r="147" spans="2:11" x14ac:dyDescent="0.2">
      <c r="B147" s="195" t="s">
        <v>167</v>
      </c>
      <c r="C147" s="46">
        <f>-X_ail+m_ail-p_ail-n_ail/2</f>
        <v>-932</v>
      </c>
      <c r="D147" s="208">
        <f>-D_ail/2-E_ail-Long_tot/20</f>
        <v>-198.6</v>
      </c>
      <c r="E147" s="93"/>
      <c r="K147" s="46"/>
    </row>
    <row r="148" spans="2:11" x14ac:dyDescent="0.2">
      <c r="B148" s="212" t="s">
        <v>164</v>
      </c>
      <c r="C148" s="200">
        <f>-X_ail+m_ail-p_ail-n_ail</f>
        <v>-972</v>
      </c>
      <c r="D148" s="209">
        <f>-D_ail/2-E_ail-Long_tot/20</f>
        <v>-198.6</v>
      </c>
      <c r="E148" s="93"/>
      <c r="K148" s="46"/>
    </row>
    <row r="149" spans="2:11" x14ac:dyDescent="0.2">
      <c r="B149" s="183" t="s">
        <v>82</v>
      </c>
      <c r="C149" s="197">
        <f ca="1">-XcgPlein</f>
        <v>-545.41261025808569</v>
      </c>
      <c r="D149" s="207">
        <v>0</v>
      </c>
      <c r="E149" s="93"/>
      <c r="K149" s="46"/>
    </row>
    <row r="150" spans="2:11" x14ac:dyDescent="0.2">
      <c r="B150" s="187" t="s">
        <v>83</v>
      </c>
      <c r="C150" s="200">
        <f ca="1">-XcgVide</f>
        <v>-537.43903258313742</v>
      </c>
      <c r="D150" s="209">
        <v>0</v>
      </c>
      <c r="E150" s="93"/>
      <c r="K150" s="46"/>
    </row>
    <row r="151" spans="2:11" x14ac:dyDescent="0.2">
      <c r="B151" s="183" t="s">
        <v>84</v>
      </c>
      <c r="C151" s="197">
        <f>-XCp</f>
        <v>-769.02762675440692</v>
      </c>
      <c r="D151" s="207">
        <v>0</v>
      </c>
      <c r="E151" s="93"/>
      <c r="K151" s="46"/>
    </row>
    <row r="152" spans="2:11" x14ac:dyDescent="0.2">
      <c r="B152" s="187" t="s">
        <v>84</v>
      </c>
      <c r="C152" s="200">
        <f>-XCp</f>
        <v>-769.02762675440692</v>
      </c>
      <c r="D152" s="209">
        <f>Cn*D_ref/CritCnmin</f>
        <v>87.372101895940062</v>
      </c>
      <c r="E152" s="93"/>
      <c r="K152" s="46"/>
    </row>
    <row r="153" spans="2:11" x14ac:dyDescent="0.2">
      <c r="B153" s="185" t="s">
        <v>422</v>
      </c>
      <c r="C153" s="46">
        <f>-XCp0</f>
        <v>-769.02762675440692</v>
      </c>
      <c r="D153" s="208">
        <f>Cn0*D_ref/CritCnmin</f>
        <v>87.372101895940062</v>
      </c>
      <c r="E153" s="93"/>
      <c r="K153" s="46"/>
    </row>
    <row r="154" spans="2:11" x14ac:dyDescent="0.2">
      <c r="B154" s="185" t="s">
        <v>422</v>
      </c>
      <c r="C154" s="46">
        <f>-XCp0</f>
        <v>-769.02762675440692</v>
      </c>
      <c r="D154" s="208">
        <v>0</v>
      </c>
      <c r="E154" s="93"/>
      <c r="K154" s="46"/>
    </row>
    <row r="155" spans="2:11" x14ac:dyDescent="0.2">
      <c r="B155" s="192" t="str">
        <f>IF(n_ail&gt;0,IF(Lang="Français","Marge Statique","Static Margin"),"")</f>
        <v>Marge Statique</v>
      </c>
      <c r="C155" s="197">
        <f ca="1">(-XcgPlein-XcgVide)/2</f>
        <v>-541.42582142061156</v>
      </c>
      <c r="D155" s="207">
        <f>-D_ail/2-E_ail-Long_tot/20</f>
        <v>-198.6</v>
      </c>
      <c r="E155" s="93"/>
      <c r="K155" s="46"/>
    </row>
    <row r="156" spans="2:11" x14ac:dyDescent="0.2">
      <c r="B156" s="195" t="s">
        <v>170</v>
      </c>
      <c r="C156" s="46">
        <f ca="1">(C155+C157)/2</f>
        <v>-655.22672408750918</v>
      </c>
      <c r="D156" s="208">
        <f>-D_ail/2-E_ail-Long_tot/20</f>
        <v>-198.6</v>
      </c>
      <c r="E156" s="93"/>
      <c r="K156" s="46"/>
    </row>
    <row r="157" spans="2:11" x14ac:dyDescent="0.2">
      <c r="B157" s="212" t="s">
        <v>171</v>
      </c>
      <c r="C157" s="200">
        <f>-XCp</f>
        <v>-769.02762675440692</v>
      </c>
      <c r="D157" s="209">
        <f>-D_ail/2-E_ail-Long_tot/20</f>
        <v>-198.6</v>
      </c>
      <c r="E157" s="93"/>
      <c r="K157" s="46"/>
    </row>
    <row r="158" spans="2:11" x14ac:dyDescent="0.2">
      <c r="B158" s="183" t="s">
        <v>85</v>
      </c>
      <c r="C158" s="197">
        <f>IF(LEFT(Type_masquage,1)="M",0,-X_can+m_can)</f>
        <v>0</v>
      </c>
      <c r="D158" s="197">
        <f>IF(LEFT(Type_masquage,1)="M",0,D_ail/2)</f>
        <v>0</v>
      </c>
      <c r="E158" s="198">
        <f t="shared" ref="E158:E167" si="1">-D158</f>
        <v>0</v>
      </c>
      <c r="K158" s="46"/>
    </row>
    <row r="159" spans="2:11" x14ac:dyDescent="0.2">
      <c r="B159" s="185" t="s">
        <v>86</v>
      </c>
      <c r="C159" s="46">
        <f>IF(LEFT(Type_masquage,1)="M",0,-X_can+m_can-p_can)</f>
        <v>0</v>
      </c>
      <c r="D159" s="46">
        <f>IF(LEFT(Type_masquage,1)="M",0,D_ail/2+E_can)</f>
        <v>0</v>
      </c>
      <c r="E159" s="199">
        <f t="shared" si="1"/>
        <v>0</v>
      </c>
      <c r="K159" s="46"/>
    </row>
    <row r="160" spans="2:11" x14ac:dyDescent="0.2">
      <c r="B160" s="185" t="s">
        <v>87</v>
      </c>
      <c r="C160" s="46">
        <f>IF(LEFT(Type_masquage,1)="M",0,-X_can+m_can-p_can-n_can)</f>
        <v>0</v>
      </c>
      <c r="D160" s="46">
        <f>IF(LEFT(Type_masquage,1)="M",0,D_ail/2+E_can)</f>
        <v>0</v>
      </c>
      <c r="E160" s="199">
        <f t="shared" si="1"/>
        <v>0</v>
      </c>
      <c r="K160" s="46"/>
    </row>
    <row r="161" spans="2:11" x14ac:dyDescent="0.2">
      <c r="B161" s="185" t="s">
        <v>88</v>
      </c>
      <c r="C161" s="46">
        <f>IF(LEFT(Type_masquage,1)="M",0,-X_can)</f>
        <v>0</v>
      </c>
      <c r="D161" s="46">
        <f>IF(LEFT(Type_masquage,1)="M",0,D_ail/2)</f>
        <v>0</v>
      </c>
      <c r="E161" s="199">
        <f t="shared" si="1"/>
        <v>0</v>
      </c>
      <c r="K161" s="46"/>
    </row>
    <row r="162" spans="2:11" x14ac:dyDescent="0.2">
      <c r="B162" s="187" t="s">
        <v>85</v>
      </c>
      <c r="C162" s="200">
        <f>IF(LEFT(Type_masquage,1)="M",0,-X_can+m_can)</f>
        <v>0</v>
      </c>
      <c r="D162" s="200">
        <f>IF(LEFT(Type_masquage,1)="M",0,D_ail/2)</f>
        <v>0</v>
      </c>
      <c r="E162" s="201">
        <f t="shared" si="1"/>
        <v>0</v>
      </c>
      <c r="K162" s="46"/>
    </row>
    <row r="163" spans="2:11" x14ac:dyDescent="0.2">
      <c r="B163" s="183" t="s">
        <v>89</v>
      </c>
      <c r="C163" s="197">
        <f>IF(LEFT(Type_masquage,1)="B",-X_int+m_int,0)</f>
        <v>0</v>
      </c>
      <c r="D163" s="197">
        <f>IF(LEFT(Type_masquage,1)="B",D_int/2,0)</f>
        <v>0</v>
      </c>
      <c r="E163" s="198">
        <f t="shared" si="1"/>
        <v>0</v>
      </c>
      <c r="K163" s="46"/>
    </row>
    <row r="164" spans="2:11" x14ac:dyDescent="0.2">
      <c r="B164" s="185" t="s">
        <v>90</v>
      </c>
      <c r="C164" s="46">
        <f>IF(LEFT(Type_masquage,1)="B",-X_int+m_int-p_int,0)</f>
        <v>0</v>
      </c>
      <c r="D164" s="46">
        <f>IF(LEFT(Type_masquage,1)="B",D_int/2+E_int,0)</f>
        <v>0</v>
      </c>
      <c r="E164" s="199">
        <f t="shared" si="1"/>
        <v>0</v>
      </c>
      <c r="K164" s="46"/>
    </row>
    <row r="165" spans="2:11" x14ac:dyDescent="0.2">
      <c r="B165" s="185" t="s">
        <v>91</v>
      </c>
      <c r="C165" s="46">
        <f>IF(LEFT(Type_masquage,1)="B",-X_int+m_int-p_int-n_int,0)</f>
        <v>0</v>
      </c>
      <c r="D165" s="46">
        <f>IF(LEFT(Type_masquage,1)="B",D_int/2+E_int,0)</f>
        <v>0</v>
      </c>
      <c r="E165" s="199">
        <f t="shared" si="1"/>
        <v>0</v>
      </c>
      <c r="K165" s="46"/>
    </row>
    <row r="166" spans="2:11" x14ac:dyDescent="0.2">
      <c r="B166" s="185" t="s">
        <v>92</v>
      </c>
      <c r="C166" s="46">
        <f>IF(LEFT(Type_masquage,1)="B",-X_int,0)</f>
        <v>0</v>
      </c>
      <c r="D166" s="46">
        <f>IF(LEFT(Type_masquage,1)="B",D_int/2,0)</f>
        <v>0</v>
      </c>
      <c r="E166" s="199">
        <f t="shared" si="1"/>
        <v>0</v>
      </c>
      <c r="K166" s="46"/>
    </row>
    <row r="167" spans="2:11" x14ac:dyDescent="0.2">
      <c r="B167" s="187" t="s">
        <v>89</v>
      </c>
      <c r="C167" s="200">
        <f>IF(LEFT(Type_masquage,1)="B",-X_int+m_int,0)</f>
        <v>0</v>
      </c>
      <c r="D167" s="200">
        <f>IF(LEFT(Type_masquage,1)="B",D_int/2,0)</f>
        <v>0</v>
      </c>
      <c r="E167" s="201">
        <f t="shared" si="1"/>
        <v>0</v>
      </c>
      <c r="K167" s="46"/>
    </row>
    <row r="168" spans="2:11" x14ac:dyDescent="0.2">
      <c r="B168" s="45" t="s">
        <v>93</v>
      </c>
      <c r="C168" s="46">
        <f>-MAX(Long_tot, X_ail-m_ail+p_ail+n_ail, (E_ail+D_ail/2)*3.2)*1.01</f>
        <v>-1001.92</v>
      </c>
      <c r="D168" s="46">
        <f>MAX(E_ail+D_ail/2, Long_tot/3)</f>
        <v>330.66666666666669</v>
      </c>
      <c r="E168" s="93"/>
      <c r="K168" s="46"/>
    </row>
    <row r="169" spans="2:11" x14ac:dyDescent="0.2">
      <c r="B169" s="45" t="s">
        <v>93</v>
      </c>
      <c r="C169" s="46">
        <f>C168</f>
        <v>-1001.92</v>
      </c>
      <c r="D169" s="46">
        <f>-D168</f>
        <v>-330.66666666666669</v>
      </c>
      <c r="E169" s="93"/>
      <c r="K169" s="46"/>
    </row>
    <row r="170" spans="2:11" x14ac:dyDescent="0.2">
      <c r="B170" s="183" t="s">
        <v>94</v>
      </c>
      <c r="C170" s="197">
        <f ca="1">-XpropuRef+Long_propu</f>
        <v>-714</v>
      </c>
      <c r="D170" s="207">
        <f ca="1">-Diam_propu/2</f>
        <v>-12</v>
      </c>
      <c r="E170" s="93"/>
      <c r="K170" s="46"/>
    </row>
    <row r="171" spans="2:11" x14ac:dyDescent="0.2">
      <c r="B171" s="185" t="s">
        <v>95</v>
      </c>
      <c r="C171" s="46">
        <f ca="1">-XpropuRef+Long_propu</f>
        <v>-714</v>
      </c>
      <c r="D171" s="208">
        <f ca="1">Diam_propu/2</f>
        <v>12</v>
      </c>
      <c r="E171" s="93"/>
      <c r="K171" s="46"/>
    </row>
    <row r="172" spans="2:11" x14ac:dyDescent="0.2">
      <c r="B172" s="185" t="s">
        <v>96</v>
      </c>
      <c r="C172" s="46">
        <f>-XpropuRef</f>
        <v>-942</v>
      </c>
      <c r="D172" s="208">
        <f ca="1">Diam_propu/2</f>
        <v>12</v>
      </c>
      <c r="E172" s="93"/>
      <c r="K172" s="46"/>
    </row>
    <row r="173" spans="2:11" x14ac:dyDescent="0.2">
      <c r="B173" s="185" t="s">
        <v>97</v>
      </c>
      <c r="C173" s="46">
        <f>-XpropuRef</f>
        <v>-942</v>
      </c>
      <c r="D173" s="208">
        <f ca="1">-Diam_propu/2</f>
        <v>-12</v>
      </c>
      <c r="E173" s="93"/>
      <c r="K173" s="46"/>
    </row>
    <row r="174" spans="2:11" x14ac:dyDescent="0.2">
      <c r="B174" s="187" t="s">
        <v>98</v>
      </c>
      <c r="C174" s="200">
        <f ca="1">-XpropuRef+Long_propu</f>
        <v>-714</v>
      </c>
      <c r="D174" s="209">
        <f ca="1">-Diam_propu/2</f>
        <v>-12</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-25.200000000000003</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-63</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-126</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-189</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-252</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60</v>
      </c>
      <c r="K182" s="45"/>
    </row>
    <row r="183" spans="2:11" x14ac:dyDescent="0.2">
      <c r="B183" s="187">
        <v>7</v>
      </c>
      <c r="C183" s="196">
        <f>CritCnmin</f>
        <v>15</v>
      </c>
      <c r="D183" s="185">
        <v>1</v>
      </c>
      <c r="E183" s="205">
        <f t="shared" si="3"/>
        <v>30</v>
      </c>
      <c r="K183" s="45"/>
    </row>
    <row r="184" spans="2:11" x14ac:dyDescent="0.2">
      <c r="B184" s="183">
        <v>0</v>
      </c>
      <c r="C184" s="202">
        <f>CritCnmax</f>
        <v>30</v>
      </c>
      <c r="D184" s="185">
        <v>2</v>
      </c>
      <c r="E184" s="205">
        <f t="shared" si="3"/>
        <v>15</v>
      </c>
      <c r="K184" s="45"/>
    </row>
    <row r="185" spans="2:11" x14ac:dyDescent="0.2">
      <c r="B185" s="187">
        <v>7</v>
      </c>
      <c r="C185" s="196">
        <f>CritCnmax</f>
        <v>30</v>
      </c>
      <c r="D185" s="185">
        <v>3</v>
      </c>
      <c r="E185" s="205">
        <f t="shared" si="3"/>
        <v>10</v>
      </c>
      <c r="K185" s="45"/>
    </row>
    <row r="186" spans="2:11" x14ac:dyDescent="0.2">
      <c r="B186" s="183">
        <f>CritMsmin</f>
        <v>1.5</v>
      </c>
      <c r="C186" s="202">
        <v>0</v>
      </c>
      <c r="D186" s="185">
        <v>5</v>
      </c>
      <c r="E186" s="205">
        <f t="shared" si="3"/>
        <v>6</v>
      </c>
      <c r="K186" s="45"/>
    </row>
    <row r="187" spans="2:11" x14ac:dyDescent="0.2">
      <c r="B187" s="187">
        <f>CritMsmin</f>
        <v>1.5</v>
      </c>
      <c r="C187" s="196">
        <v>55</v>
      </c>
      <c r="D187" s="185">
        <v>7</v>
      </c>
      <c r="E187" s="205">
        <f t="shared" si="3"/>
        <v>4.2857142857142856</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2.6620835297181098</v>
      </c>
      <c r="C190" s="203">
        <f>Cn</f>
        <v>15.602161052846441</v>
      </c>
      <c r="D190" s="185">
        <v>3</v>
      </c>
      <c r="E190" s="205">
        <f t="shared" si="4"/>
        <v>33.333333333333336</v>
      </c>
      <c r="K190" s="45"/>
    </row>
    <row r="191" spans="2:11" x14ac:dyDescent="0.2">
      <c r="B191" s="512">
        <f ca="1">(XCp0-XcgPlein)/D_ref</f>
        <v>2.6620835297181098</v>
      </c>
      <c r="C191" s="513">
        <f>Cn0</f>
        <v>15.602161052846441</v>
      </c>
      <c r="D191" s="185">
        <v>4</v>
      </c>
      <c r="E191" s="205">
        <f t="shared" si="4"/>
        <v>25</v>
      </c>
      <c r="K191" s="45"/>
    </row>
    <row r="192" spans="2:11" x14ac:dyDescent="0.2">
      <c r="B192" s="512">
        <f ca="1">(XCp0-XcgVide)/D_ref</f>
        <v>2.7570070734674941</v>
      </c>
      <c r="C192" s="513">
        <f>Cn0</f>
        <v>15.602161052846441</v>
      </c>
      <c r="D192" s="185">
        <v>6</v>
      </c>
      <c r="E192" s="205">
        <f t="shared" si="4"/>
        <v>16.666666666666668</v>
      </c>
      <c r="K192" s="45"/>
    </row>
    <row r="193" spans="2:11" x14ac:dyDescent="0.2">
      <c r="B193" s="512">
        <f ca="1">(XCp-XcgVide)/D_ref</f>
        <v>2.7570070734674941</v>
      </c>
      <c r="C193" s="513">
        <f>Cn</f>
        <v>15.602161052846441</v>
      </c>
      <c r="D193" s="187">
        <v>7</v>
      </c>
      <c r="E193" s="206">
        <f t="shared" si="4"/>
        <v>14.285714285714286</v>
      </c>
      <c r="K193" s="45"/>
    </row>
    <row r="194" spans="2:11" x14ac:dyDescent="0.2">
      <c r="B194" s="512">
        <f ca="1">MS_min</f>
        <v>2.6620835297181098</v>
      </c>
      <c r="C194" s="514">
        <f>Cn</f>
        <v>15.602161052846441</v>
      </c>
      <c r="D194" s="45"/>
      <c r="E194" s="92"/>
      <c r="K194" s="45"/>
    </row>
    <row r="195" spans="2:11" x14ac:dyDescent="0.2">
      <c r="B195" s="183">
        <v>0</v>
      </c>
      <c r="C195" s="202">
        <f>(CritCnmin+CritCnmax)/2</f>
        <v>22.5</v>
      </c>
      <c r="D195" s="26"/>
      <c r="E195" s="90"/>
      <c r="K195" s="26"/>
    </row>
    <row r="196" spans="2:11" x14ac:dyDescent="0.2">
      <c r="B196" s="185">
        <f>MAX(CritMsmin,CritMsCnmin/C196)</f>
        <v>1.5</v>
      </c>
      <c r="C196" s="45">
        <f>(CritCnmin+CritCnmax)/2</f>
        <v>22.5</v>
      </c>
      <c r="D196" s="26"/>
      <c r="E196" s="90"/>
      <c r="K196" s="26"/>
    </row>
    <row r="197" spans="2:11" x14ac:dyDescent="0.2">
      <c r="B197" s="185">
        <f>MIN(CritMsmax,CritMsCnmax/C197)</f>
        <v>4.4444444444444446</v>
      </c>
      <c r="C197" s="189">
        <f>(CritCnmin+CritCnmax)/2</f>
        <v>22.5</v>
      </c>
    </row>
    <row r="198" spans="2:11" x14ac:dyDescent="0.2">
      <c r="B198" s="187">
        <v>7</v>
      </c>
      <c r="C198" s="190">
        <f>(CritCnmin+CritCnmax)/2</f>
        <v>22.5</v>
      </c>
    </row>
    <row r="199" spans="2:11" x14ac:dyDescent="0.2">
      <c r="B199" s="183">
        <f>(CritMsmin+CritMsmax)/2</f>
        <v>3.75</v>
      </c>
      <c r="C199" s="184">
        <v>0</v>
      </c>
    </row>
    <row r="200" spans="2:11" x14ac:dyDescent="0.2">
      <c r="B200" s="185">
        <f>(CritMsmin+CritMsmax)/2</f>
        <v>3.75</v>
      </c>
      <c r="C200" s="186">
        <f>MAX(CritCnmin,CritMsCnmin/B200)</f>
        <v>15</v>
      </c>
    </row>
    <row r="201" spans="2:11" x14ac:dyDescent="0.2">
      <c r="B201" s="185">
        <f>(CritMsmin+CritMsmax)/2</f>
        <v>3.75</v>
      </c>
      <c r="C201" s="186">
        <f>MIN(CritCnmax,CritMsCnmax/B201)</f>
        <v>26.666666666666668</v>
      </c>
    </row>
    <row r="202" spans="2:11" x14ac:dyDescent="0.2">
      <c r="B202" s="187">
        <f>(CritMsmin+CritMsmax)/2</f>
        <v>3.75</v>
      </c>
      <c r="C202" s="188">
        <v>55</v>
      </c>
    </row>
    <row r="203" spans="2:11" x14ac:dyDescent="0.2">
      <c r="D203" s="474"/>
    </row>
    <row r="204" spans="2:11" x14ac:dyDescent="0.2">
      <c r="B204" s="476" t="s">
        <v>405</v>
      </c>
      <c r="C204" s="31" t="b">
        <f ca="1">(OR(C205:C210))</f>
        <v>1</v>
      </c>
      <c r="D204" s="474"/>
    </row>
    <row r="205" spans="2:11" x14ac:dyDescent="0.2">
      <c r="B205" s="475" t="s">
        <v>402</v>
      </c>
      <c r="C205" s="474" t="b">
        <f ca="1">AND(Type_propu="H2O",RIGHT(Type_fusee,1)=" ")</f>
        <v>0</v>
      </c>
      <c r="D205" s="474"/>
    </row>
    <row r="206" spans="2:11" x14ac:dyDescent="0.2">
      <c r="B206" s="475" t="s">
        <v>118</v>
      </c>
      <c r="C206" s="474" t="b">
        <f ca="1">AND(Type_propu="Fusex",RIGHT(Type_fusee,1)=".")</f>
        <v>0</v>
      </c>
      <c r="D206" s="474"/>
    </row>
    <row r="207" spans="2:11" x14ac:dyDescent="0.2">
      <c r="B207" s="475" t="s">
        <v>403</v>
      </c>
      <c r="C207" s="474" t="b">
        <f ca="1">LEFT(Type_propu,5)=LEFT(Type_fusee,5)</f>
        <v>0</v>
      </c>
      <c r="D207" s="474"/>
    </row>
    <row r="208" spans="2:11" x14ac:dyDescent="0.2">
      <c r="B208" s="475" t="s">
        <v>404</v>
      </c>
      <c r="C208" s="474" t="b">
        <f ca="1">AND(RIGHT(Type_propu,1)="N",LEFT(Type_fusee,4)="Mini")</f>
        <v>0</v>
      </c>
      <c r="D208" s="474"/>
    </row>
    <row r="209" spans="1:3" x14ac:dyDescent="0.2">
      <c r="B209" s="475" t="s">
        <v>406</v>
      </c>
      <c r="C209" s="474" t="b">
        <f ca="1">AND(LEFT(Type_propu,5)="MiniR",LEFT(Type_fusee,1)="R")</f>
        <v>0</v>
      </c>
    </row>
    <row r="210" spans="1:3" x14ac:dyDescent="0.2">
      <c r="B210" s="475" t="s">
        <v>396</v>
      </c>
      <c r="C210" s="474" t="b">
        <f ca="1">AND(LEFT(Type_propu,4)="Mini",LEFT(Type_fusee,1)=",")</f>
        <v>1</v>
      </c>
    </row>
    <row r="223" spans="1:3" x14ac:dyDescent="0.2">
      <c r="A223" s="24" t="s">
        <v>463</v>
      </c>
    </row>
    <row r="226" spans="1:1" x14ac:dyDescent="0.2">
      <c r="A226" s="24" t="s">
        <v>476</v>
      </c>
    </row>
    <row r="228" spans="1:1" x14ac:dyDescent="0.2">
      <c r="A228" s="24" t="s">
        <v>477</v>
      </c>
    </row>
    <row r="230" spans="1:1" x14ac:dyDescent="0.2">
      <c r="A230" s="24" t="s">
        <v>478</v>
      </c>
    </row>
    <row r="232" spans="1:1" x14ac:dyDescent="0.2">
      <c r="A232" s="24" t="s">
        <v>479</v>
      </c>
    </row>
    <row r="233" spans="1:1" x14ac:dyDescent="0.2">
      <c r="A233" s="24" t="s">
        <v>480</v>
      </c>
    </row>
    <row r="234" spans="1:1" x14ac:dyDescent="0.2">
      <c r="A234" s="24" t="s">
        <v>481</v>
      </c>
    </row>
    <row r="235" spans="1:1" x14ac:dyDescent="0.2">
      <c r="A235" s="24" t="s">
        <v>482</v>
      </c>
    </row>
    <row r="236" spans="1:1" x14ac:dyDescent="0.2">
      <c r="A236" s="24" t="s">
        <v>483</v>
      </c>
    </row>
    <row r="237" spans="1:1" x14ac:dyDescent="0.2">
      <c r="A237" s="24" t="s">
        <v>484</v>
      </c>
    </row>
    <row r="238" spans="1:1" x14ac:dyDescent="0.2">
      <c r="A238" s="24" t="s">
        <v>183</v>
      </c>
    </row>
    <row r="239" spans="1:1" x14ac:dyDescent="0.2">
      <c r="A239" s="24" t="s">
        <v>485</v>
      </c>
    </row>
    <row r="240" spans="1:1" x14ac:dyDescent="0.2">
      <c r="A240" s="24" t="s">
        <v>486</v>
      </c>
    </row>
    <row r="241" spans="1:1" x14ac:dyDescent="0.2">
      <c r="A241" s="24" t="s">
        <v>183</v>
      </c>
    </row>
    <row r="242" spans="1:1" x14ac:dyDescent="0.2">
      <c r="A242" s="24" t="s">
        <v>487</v>
      </c>
    </row>
    <row r="244" spans="1:1" x14ac:dyDescent="0.2">
      <c r="A244" s="24" t="s">
        <v>488</v>
      </c>
    </row>
    <row r="246" spans="1:1" x14ac:dyDescent="0.2">
      <c r="A246" s="24" t="s">
        <v>489</v>
      </c>
    </row>
    <row r="248" spans="1:1" x14ac:dyDescent="0.2">
      <c r="A248" s="24" t="s">
        <v>490</v>
      </c>
    </row>
    <row r="249" spans="1:1" x14ac:dyDescent="0.2">
      <c r="A249" s="24" t="s">
        <v>491</v>
      </c>
    </row>
    <row r="250" spans="1:1" x14ac:dyDescent="0.2">
      <c r="A250" s="24" t="s">
        <v>492</v>
      </c>
    </row>
    <row r="251" spans="1:1" x14ac:dyDescent="0.2">
      <c r="A251" s="24" t="s">
        <v>493</v>
      </c>
    </row>
    <row r="252" spans="1:1" x14ac:dyDescent="0.2">
      <c r="A252" s="24" t="s">
        <v>494</v>
      </c>
    </row>
    <row r="254" spans="1:1" x14ac:dyDescent="0.2">
      <c r="A254" s="24" t="s">
        <v>495</v>
      </c>
    </row>
    <row r="255" spans="1:1" x14ac:dyDescent="0.2">
      <c r="A255" s="24" t="s">
        <v>496</v>
      </c>
    </row>
    <row r="256" spans="1:1" x14ac:dyDescent="0.2">
      <c r="A256" s="24" t="s">
        <v>497</v>
      </c>
    </row>
    <row r="257" spans="1:1" x14ac:dyDescent="0.2">
      <c r="A257" s="24" t="s">
        <v>498</v>
      </c>
    </row>
    <row r="258" spans="1:1" x14ac:dyDescent="0.2">
      <c r="A258" s="24" t="s">
        <v>499</v>
      </c>
    </row>
    <row r="261" spans="1:1" x14ac:dyDescent="0.2">
      <c r="A261" s="24" t="s">
        <v>500</v>
      </c>
    </row>
    <row r="262" spans="1:1" x14ac:dyDescent="0.2">
      <c r="A262" s="24" t="s">
        <v>501</v>
      </c>
    </row>
    <row r="263" spans="1:1" x14ac:dyDescent="0.2">
      <c r="A263" s="24" t="s">
        <v>502</v>
      </c>
    </row>
    <row r="264" spans="1:1" x14ac:dyDescent="0.2">
      <c r="A264" s="24" t="s">
        <v>503</v>
      </c>
    </row>
    <row r="265" spans="1:1" x14ac:dyDescent="0.2">
      <c r="A265" s="24" t="s">
        <v>504</v>
      </c>
    </row>
    <row r="267" spans="1:1" x14ac:dyDescent="0.2">
      <c r="A267" s="24" t="s">
        <v>497</v>
      </c>
    </row>
    <row r="268" spans="1:1" x14ac:dyDescent="0.2">
      <c r="A268" s="24" t="s">
        <v>498</v>
      </c>
    </row>
    <row r="269" spans="1:1" x14ac:dyDescent="0.2">
      <c r="A269" s="24" t="s">
        <v>505</v>
      </c>
    </row>
    <row r="272" spans="1:1" x14ac:dyDescent="0.2">
      <c r="A272" s="24" t="s">
        <v>465</v>
      </c>
    </row>
    <row r="273" spans="1:1" x14ac:dyDescent="0.2">
      <c r="A273" s="24" t="s">
        <v>466</v>
      </c>
    </row>
    <row r="275" spans="1:1" x14ac:dyDescent="0.2">
      <c r="A275" s="24" t="s">
        <v>506</v>
      </c>
    </row>
    <row r="277" spans="1:1" x14ac:dyDescent="0.2">
      <c r="A277" s="24" t="s">
        <v>505</v>
      </c>
    </row>
    <row r="280" spans="1:1" x14ac:dyDescent="0.2">
      <c r="A280" s="24" t="s">
        <v>467</v>
      </c>
    </row>
    <row r="281" spans="1:1" x14ac:dyDescent="0.2">
      <c r="A281" s="24" t="s">
        <v>468</v>
      </c>
    </row>
    <row r="282" spans="1:1" x14ac:dyDescent="0.2">
      <c r="A282" s="24" t="s">
        <v>507</v>
      </c>
    </row>
    <row r="283" spans="1:1" x14ac:dyDescent="0.2">
      <c r="A283" s="24" t="s">
        <v>508</v>
      </c>
    </row>
    <row r="284" spans="1:1" x14ac:dyDescent="0.2">
      <c r="A284" s="24" t="s">
        <v>505</v>
      </c>
    </row>
    <row r="285" spans="1:1" x14ac:dyDescent="0.2">
      <c r="A285" s="24" t="s">
        <v>469</v>
      </c>
    </row>
    <row r="287" spans="1:1" x14ac:dyDescent="0.2">
      <c r="A287" s="24" t="s">
        <v>509</v>
      </c>
    </row>
    <row r="288" spans="1:1" x14ac:dyDescent="0.2">
      <c r="A288" s="24" t="s">
        <v>507</v>
      </c>
    </row>
    <row r="289" spans="1:1" x14ac:dyDescent="0.2">
      <c r="A289" s="24" t="s">
        <v>510</v>
      </c>
    </row>
    <row r="291" spans="1:1" x14ac:dyDescent="0.2">
      <c r="A291" s="24" t="s">
        <v>505</v>
      </c>
    </row>
    <row r="294" spans="1:1" x14ac:dyDescent="0.2">
      <c r="A294" s="24" t="s">
        <v>511</v>
      </c>
    </row>
    <row r="295" spans="1:1" x14ac:dyDescent="0.2">
      <c r="A295" s="24" t="s">
        <v>512</v>
      </c>
    </row>
    <row r="296" spans="1:1" x14ac:dyDescent="0.2">
      <c r="A296" s="24" t="s">
        <v>513</v>
      </c>
    </row>
    <row r="298" spans="1:1" x14ac:dyDescent="0.2">
      <c r="A298" s="24" t="s">
        <v>505</v>
      </c>
    </row>
    <row r="301" spans="1:1" x14ac:dyDescent="0.2">
      <c r="A301" s="24" t="s">
        <v>514</v>
      </c>
    </row>
    <row r="302" spans="1:1" x14ac:dyDescent="0.2">
      <c r="A302" s="24" t="s">
        <v>515</v>
      </c>
    </row>
    <row r="304" spans="1:1" x14ac:dyDescent="0.2">
      <c r="A304" s="24" t="s">
        <v>516</v>
      </c>
    </row>
    <row r="305" spans="1:1" x14ac:dyDescent="0.2">
      <c r="A305" s="24" t="s">
        <v>517</v>
      </c>
    </row>
    <row r="306" spans="1:1" x14ac:dyDescent="0.2">
      <c r="A306" s="24" t="s">
        <v>505</v>
      </c>
    </row>
    <row r="309" spans="1:1" x14ac:dyDescent="0.2">
      <c r="A309" s="24" t="s">
        <v>514</v>
      </c>
    </row>
    <row r="310" spans="1:1" x14ac:dyDescent="0.2">
      <c r="A310" s="24" t="s">
        <v>518</v>
      </c>
    </row>
    <row r="311" spans="1:1" x14ac:dyDescent="0.2">
      <c r="A311" s="24" t="s">
        <v>514</v>
      </c>
    </row>
    <row r="312" spans="1:1" x14ac:dyDescent="0.2">
      <c r="A312" s="24" t="s">
        <v>519</v>
      </c>
    </row>
    <row r="314" spans="1:1" x14ac:dyDescent="0.2">
      <c r="A314" s="24" t="s">
        <v>520</v>
      </c>
    </row>
    <row r="316" spans="1:1" x14ac:dyDescent="0.2">
      <c r="A316" s="24" t="s">
        <v>505</v>
      </c>
    </row>
    <row r="319" spans="1:1" x14ac:dyDescent="0.2">
      <c r="A319" s="24" t="s">
        <v>514</v>
      </c>
    </row>
    <row r="320" spans="1:1" x14ac:dyDescent="0.2">
      <c r="A320" s="24" t="s">
        <v>521</v>
      </c>
    </row>
    <row r="321" spans="1:1" x14ac:dyDescent="0.2">
      <c r="A321" s="24" t="s">
        <v>522</v>
      </c>
    </row>
    <row r="322" spans="1:1" x14ac:dyDescent="0.2">
      <c r="A322" s="24" t="s">
        <v>523</v>
      </c>
    </row>
    <row r="324" spans="1:1" x14ac:dyDescent="0.2">
      <c r="A324" s="24" t="s">
        <v>505</v>
      </c>
    </row>
    <row r="326" spans="1:1" x14ac:dyDescent="0.2">
      <c r="A326" s="24" t="s">
        <v>464</v>
      </c>
    </row>
    <row r="329" spans="1:1" x14ac:dyDescent="0.2">
      <c r="A329" s="24" t="s">
        <v>470</v>
      </c>
    </row>
    <row r="330" spans="1:1" x14ac:dyDescent="0.2">
      <c r="A330" s="24" t="s">
        <v>471</v>
      </c>
    </row>
    <row r="331" spans="1:1" x14ac:dyDescent="0.2">
      <c r="A331" s="24" t="s">
        <v>524</v>
      </c>
    </row>
    <row r="332" spans="1:1" x14ac:dyDescent="0.2">
      <c r="A332" s="24" t="s">
        <v>525</v>
      </c>
    </row>
    <row r="333" spans="1:1" x14ac:dyDescent="0.2">
      <c r="A333" s="24" t="s">
        <v>526</v>
      </c>
    </row>
    <row r="334" spans="1:1" x14ac:dyDescent="0.2">
      <c r="A334" s="24" t="s">
        <v>527</v>
      </c>
    </row>
    <row r="335" spans="1:1" x14ac:dyDescent="0.2">
      <c r="A335" s="24" t="s">
        <v>528</v>
      </c>
    </row>
    <row r="336" spans="1:1" x14ac:dyDescent="0.2">
      <c r="A336" s="24" t="s">
        <v>481</v>
      </c>
    </row>
    <row r="337" spans="1:1" x14ac:dyDescent="0.2">
      <c r="A337" s="24" t="s">
        <v>472</v>
      </c>
    </row>
    <row r="340" spans="1:1" x14ac:dyDescent="0.2">
      <c r="A340" s="24" t="s">
        <v>473</v>
      </c>
    </row>
    <row r="342" spans="1:1" x14ac:dyDescent="0.2">
      <c r="A342" s="24" t="s">
        <v>529</v>
      </c>
    </row>
    <row r="343" spans="1:1" x14ac:dyDescent="0.2">
      <c r="A343" s="24" t="s">
        <v>530</v>
      </c>
    </row>
    <row r="344" spans="1:1" x14ac:dyDescent="0.2">
      <c r="A344" s="24" t="s">
        <v>531</v>
      </c>
    </row>
    <row r="345" spans="1:1" x14ac:dyDescent="0.2">
      <c r="A345" s="24" t="s">
        <v>532</v>
      </c>
    </row>
    <row r="346" spans="1:1" x14ac:dyDescent="0.2">
      <c r="A346" s="24" t="s">
        <v>533</v>
      </c>
    </row>
    <row r="347" spans="1:1" x14ac:dyDescent="0.2">
      <c r="A347" s="24" t="s">
        <v>481</v>
      </c>
    </row>
    <row r="348" spans="1:1" x14ac:dyDescent="0.2">
      <c r="A348" s="24" t="s">
        <v>474</v>
      </c>
    </row>
    <row r="349" spans="1:1" x14ac:dyDescent="0.2">
      <c r="A349" s="24" t="s">
        <v>534</v>
      </c>
    </row>
    <row r="350" spans="1:1" x14ac:dyDescent="0.2">
      <c r="A350" s="24" t="s">
        <v>535</v>
      </c>
    </row>
    <row r="352" spans="1:1" x14ac:dyDescent="0.2">
      <c r="A352" s="24" t="s">
        <v>505</v>
      </c>
    </row>
    <row r="355" spans="1:1" x14ac:dyDescent="0.2">
      <c r="A355" s="24" t="s">
        <v>464</v>
      </c>
    </row>
    <row r="361" spans="1:1" x14ac:dyDescent="0.2">
      <c r="A361" s="24" t="s">
        <v>475</v>
      </c>
    </row>
  </sheetData>
  <dataConsolidate/>
  <mergeCells count="56">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27:D27"/>
    <mergeCell ref="C19:D19"/>
    <mergeCell ref="C20:D20"/>
    <mergeCell ref="O23:P23"/>
    <mergeCell ref="O24:P24"/>
    <mergeCell ref="C23:D23"/>
    <mergeCell ref="C22:D22"/>
    <mergeCell ref="C24:D24"/>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D35"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tabSelected="1" zoomScaleNormal="100" workbookViewId="0">
      <selection activeCell="C28" sqref="C28"/>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598" t="s">
        <v>0</v>
      </c>
      <c r="D2" s="598"/>
      <c r="F2" s="3"/>
      <c r="J2" s="4"/>
      <c r="N2" s="57"/>
    </row>
    <row r="3" spans="1:14" ht="12.75" customHeight="1" x14ac:dyDescent="0.2">
      <c r="A3" s="56"/>
      <c r="B3" s="2"/>
      <c r="C3" s="598"/>
      <c r="D3" s="598"/>
      <c r="H3" s="5"/>
      <c r="J3" s="4"/>
      <c r="N3" s="57"/>
    </row>
    <row r="4" spans="1:14" ht="12.75" customHeight="1" x14ac:dyDescent="0.2">
      <c r="A4" s="56"/>
      <c r="B4" s="2"/>
      <c r="C4" s="603" t="str">
        <f>IF(Lang="Français","Trajectographie de fusée",IF(Lang="English","Rocket Trajectography",""))</f>
        <v>Trajectographie de fusée</v>
      </c>
      <c r="D4" s="603"/>
      <c r="H4" s="5"/>
      <c r="J4" s="4"/>
      <c r="N4" s="57"/>
    </row>
    <row r="5" spans="1:14" ht="12.75" customHeight="1" x14ac:dyDescent="0.2">
      <c r="A5" s="56"/>
      <c r="B5" s="2"/>
      <c r="C5" s="597"/>
      <c r="D5" s="597"/>
      <c r="J5" s="4"/>
      <c r="N5" s="57"/>
    </row>
    <row r="6" spans="1:14" ht="12.95" customHeight="1" x14ac:dyDescent="0.2">
      <c r="A6" s="56"/>
      <c r="B6" s="87"/>
      <c r="C6" s="602" t="str">
        <f>IF(Lang="Français","Remplir les cases jaunes",IF(Lang="English","Fill-in yellow cells only",""))</f>
        <v>Remplir les cases jaunes</v>
      </c>
      <c r="D6" s="602"/>
      <c r="J6" s="4"/>
      <c r="N6" s="57"/>
    </row>
    <row r="7" spans="1:14" x14ac:dyDescent="0.2">
      <c r="A7" s="56"/>
      <c r="B7" s="6"/>
      <c r="C7" s="599" t="str">
        <f>IF(Lang="Français","Fusée",IF(Lang="English","Rocket",""))</f>
        <v>Fusée</v>
      </c>
      <c r="D7" s="599"/>
      <c r="N7" s="58"/>
    </row>
    <row r="8" spans="1:14" ht="12.75" customHeight="1" x14ac:dyDescent="0.25">
      <c r="A8" s="56"/>
      <c r="B8" s="140" t="str">
        <f>IF(Lang="Français","Nom",IF(Lang="English","Name",""))</f>
        <v>Nom</v>
      </c>
      <c r="C8" s="600" t="str">
        <f>Nom</f>
        <v>SP02-Alpha</v>
      </c>
      <c r="D8" s="600"/>
      <c r="E8" s="5"/>
      <c r="F8" s="5"/>
      <c r="J8" s="4"/>
      <c r="N8" s="57"/>
    </row>
    <row r="9" spans="1:14" ht="12.75" customHeight="1" x14ac:dyDescent="0.25">
      <c r="A9" s="59"/>
      <c r="B9" s="140" t="s">
        <v>4</v>
      </c>
      <c r="C9" s="601" t="str">
        <f>Club</f>
        <v>L'AéroIPSA</v>
      </c>
      <c r="D9" s="601"/>
      <c r="F9" s="5"/>
      <c r="N9" s="58"/>
    </row>
    <row r="10" spans="1:14" ht="12.75" customHeight="1" x14ac:dyDescent="0.25">
      <c r="A10" s="59"/>
      <c r="B10" s="141" t="s">
        <v>563</v>
      </c>
      <c r="C10" s="596" t="str">
        <f>Matricule</f>
        <v/>
      </c>
      <c r="D10" s="596"/>
      <c r="F10" s="5"/>
      <c r="N10" s="58"/>
    </row>
    <row r="11" spans="1:14" ht="12.75" customHeight="1" x14ac:dyDescent="0.2">
      <c r="A11" s="59"/>
      <c r="B11" s="140" t="str">
        <f>IF(Lang="Français","Masse totale",IF(Lang="English","Total Mass",""))</f>
        <v>Masse totale</v>
      </c>
      <c r="C11" s="625">
        <f ca="1">MassePlein</f>
        <v>2.7549000000000001</v>
      </c>
      <c r="D11" s="625"/>
      <c r="F11" s="5"/>
      <c r="N11" s="58"/>
    </row>
    <row r="12" spans="1:14" ht="12.75" customHeight="1" x14ac:dyDescent="0.2">
      <c r="A12" s="59"/>
      <c r="B12" s="227" t="str">
        <f>IF(Lang="Français","Propulseur",IF(Lang="English","Motor",""))</f>
        <v>Propulseur</v>
      </c>
      <c r="C12" s="628" t="str">
        <f>Propu</f>
        <v>Pandora (Pro24-6G BS)</v>
      </c>
      <c r="D12" s="629"/>
      <c r="F12" s="5"/>
      <c r="N12" s="58"/>
    </row>
    <row r="13" spans="1:14" ht="12.75" customHeight="1" x14ac:dyDescent="0.2">
      <c r="A13" s="59"/>
      <c r="N13" s="58"/>
    </row>
    <row r="14" spans="1:14" ht="12.75" customHeight="1" x14ac:dyDescent="0.2">
      <c r="A14" s="59"/>
      <c r="B14"/>
      <c r="C14" s="599" t="str">
        <f>IF(Lang="Français","Traînée Aérdynamique",IF(Lang="English","Drag",""))</f>
        <v>Traînée Aérdynamique</v>
      </c>
      <c r="D14" s="599"/>
      <c r="N14" s="58"/>
    </row>
    <row r="15" spans="1:14" ht="12.75" customHeight="1" x14ac:dyDescent="0.2">
      <c r="A15" s="59"/>
      <c r="B15" s="140" t="s">
        <v>40</v>
      </c>
      <c r="C15" s="630">
        <f>(PI()*D_ref^2/4+E_ail*ep_ail*Q_ail)/10^6</f>
        <v>6.8257694409323945E-3</v>
      </c>
      <c r="D15" s="630"/>
      <c r="N15" s="58"/>
    </row>
    <row r="16" spans="1:14" ht="12.75" customHeight="1" x14ac:dyDescent="0.2">
      <c r="A16" s="59"/>
      <c r="B16" s="141" t="s">
        <v>5</v>
      </c>
      <c r="C16" s="623">
        <v>0.6</v>
      </c>
      <c r="D16" s="624"/>
      <c r="N16" s="58"/>
    </row>
    <row r="17" spans="1:18" ht="12.75" customHeight="1" x14ac:dyDescent="0.2">
      <c r="A17" s="59"/>
      <c r="N17" s="58"/>
    </row>
    <row r="18" spans="1:18" ht="12.75" customHeight="1" x14ac:dyDescent="0.2">
      <c r="A18" s="59"/>
      <c r="B18"/>
      <c r="C18" s="599" t="str">
        <f>IF(Lang="Français","Rampe de Lancement",IF(Lang="English","Launch Pad",""))</f>
        <v>Rampe de Lancement</v>
      </c>
      <c r="D18" s="599"/>
      <c r="N18" s="58"/>
    </row>
    <row r="19" spans="1:18" ht="12.75" customHeight="1" x14ac:dyDescent="0.2">
      <c r="A19" s="59"/>
      <c r="B19" s="140" t="str">
        <f>IF(Lang="Français","Longueur",IF(Lang="English","Length",""))</f>
        <v>Longueur</v>
      </c>
      <c r="C19" s="627">
        <f>IF(RIGHT(Type_fusee,1)=".",4, IF(LEFT(Type_fusee,4)="Mini",2.5, IF(LEFT(Type_fusee,5)="Micro",1, IF(RIGHT(Type_fusee,1)=" ",0.1,IF(LEFT(Type_fusee,1)="R",3, 2.5)))))</f>
        <v>2.5</v>
      </c>
      <c r="D19" s="627"/>
      <c r="N19" s="58"/>
    </row>
    <row r="20" spans="1:18" ht="12.75" customHeight="1" x14ac:dyDescent="0.2">
      <c r="A20" s="59"/>
      <c r="B20" s="140" t="str">
        <f>IF(Lang="Français","Élévation",IF(Lang="English","Angle /horizon",""))</f>
        <v>Élévation</v>
      </c>
      <c r="C20" s="626">
        <v>77.775282912698117</v>
      </c>
      <c r="D20" s="626"/>
      <c r="N20" s="58"/>
    </row>
    <row r="21" spans="1:18" ht="12.75" customHeight="1" x14ac:dyDescent="0.2">
      <c r="A21" s="59"/>
      <c r="B21" s="140" t="s">
        <v>6</v>
      </c>
      <c r="C21" s="627">
        <v>0</v>
      </c>
      <c r="D21" s="627"/>
      <c r="N21" s="58"/>
    </row>
    <row r="22" spans="1:18" x14ac:dyDescent="0.2">
      <c r="A22" s="59"/>
      <c r="F22" s="384" t="e">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#N/A</v>
      </c>
      <c r="N22" s="58"/>
    </row>
    <row r="23" spans="1:18" x14ac:dyDescent="0.2">
      <c r="A23" s="59"/>
      <c r="C23" s="613" t="str">
        <f>IF(Lang="Français","DescenteSousParachute",IF(Lang="English","Over Parachute",""))</f>
        <v>DescenteSousParachute</v>
      </c>
      <c r="D23" s="614"/>
      <c r="F23" s="4"/>
      <c r="G23" s="50">
        <f ca="1">TODAY()</f>
        <v>45931</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120</v>
      </c>
      <c r="E24" s="18" t="str">
        <f>IF(ABS(T_satellite-0.11-T_para)&lt;0.1,"Pb!","")</f>
        <v/>
      </c>
      <c r="F24" s="615" t="str">
        <f>IF(Lang="Français","Sortie de Rampe",IF(Lang="English","Launch-Pad Exit",""))</f>
        <v>Sortie de Rampe</v>
      </c>
      <c r="G24" s="616"/>
      <c r="H24" s="491"/>
      <c r="I24" s="491"/>
      <c r="J24" s="491"/>
      <c r="K24" s="492" t="e">
        <f ca="1">INDEX(vit_xz,MATCH("Sortie de rampe",Event,0))</f>
        <v>#N/A</v>
      </c>
      <c r="L24" s="493"/>
      <c r="M24" s="500"/>
      <c r="N24" s="58"/>
    </row>
    <row r="25" spans="1:18" x14ac:dyDescent="0.2">
      <c r="A25" s="59"/>
      <c r="B25" s="466" t="str">
        <f>IF(Lang="Français","Masse",IF(Lang="English","Mass",""))</f>
        <v>Masse</v>
      </c>
      <c r="C25" s="467">
        <f ca="1">IF(Nb_sat="0 satellite",MasseVide,MasseVide-m_satellite)</f>
        <v>2.6793</v>
      </c>
      <c r="D25" s="480">
        <f>IF(RIGHT(Type_fusee,1)=".",1,0.15)</f>
        <v>0.15</v>
      </c>
      <c r="F25" s="619" t="str">
        <f>IF(Lang="Français","Vit max &amp; Acc max",IF(Lang="English","Max Velocity &amp; Acc",""))</f>
        <v>Vit max &amp; Acc max</v>
      </c>
      <c r="G25" s="620"/>
      <c r="H25" s="115"/>
      <c r="I25" s="115"/>
      <c r="J25" s="115"/>
      <c r="K25" s="158">
        <f ca="1">MAX(vit_xz)</f>
        <v>195.03398553178829</v>
      </c>
      <c r="L25" s="494">
        <f ca="1">MAX(acc_xz)</f>
        <v>50.531497118881298</v>
      </c>
      <c r="M25" s="500"/>
      <c r="N25" s="58"/>
    </row>
    <row r="26" spans="1:18" x14ac:dyDescent="0.2">
      <c r="A26" s="59"/>
      <c r="B26" s="469" t="str">
        <f>IF(Lang="Français","Dépotage",IF(Lang="English","Delay",""))</f>
        <v>Dépotage</v>
      </c>
      <c r="C26" s="505" t="s">
        <v>407</v>
      </c>
      <c r="D26" s="535"/>
      <c r="F26" s="621" t="str">
        <f>IF(Lang="Français","Largage du satellite",IF(Lang="English","Satellite separation",""))</f>
        <v>Largage du satellite</v>
      </c>
      <c r="G26" s="622"/>
      <c r="H26" s="152">
        <f>IF(T_satellite&lt;&gt;0,T_satellite,"")</f>
        <v>4.7</v>
      </c>
      <c r="I26" s="156">
        <f ca="1">IF(T_satellite&lt;&gt;0,INDEX(pos_z,MATCH("Satellite",Event_sat,0)),"")</f>
        <v>768.62558722410893</v>
      </c>
      <c r="J26" s="154">
        <f ca="1">IF(T_satellite&lt;&gt;0,INDEX(pos_x,MATCH("Satellite",Event_sat,0)),"")</f>
        <v>161.78036954438997</v>
      </c>
      <c r="K26" s="159">
        <f ca="1">IF(T_satellite&lt;&gt;0,INDEX(vit_xz,MATCH("Satellite",Event_sat,0)),"")</f>
        <v>169.65509087837506</v>
      </c>
      <c r="L26" s="495"/>
      <c r="M26" s="485">
        <f ca="1">1/2*Rho_moyen*1*V_ouv_sat^2*S_satellite</f>
        <v>352.58991079663383</v>
      </c>
      <c r="N26" s="58"/>
    </row>
    <row r="27" spans="1:18" x14ac:dyDescent="0.2">
      <c r="A27" s="59"/>
      <c r="B27" s="468" t="str">
        <f>IF(Lang="Français","Ouverture para",IF(Lang="English","Opening time",""))</f>
        <v>Ouverture para</v>
      </c>
      <c r="C27" s="507">
        <v>15.5</v>
      </c>
      <c r="D27" s="507">
        <v>4.7</v>
      </c>
      <c r="F27" s="619" t="s">
        <v>15</v>
      </c>
      <c r="G27" s="620"/>
      <c r="H27" s="153">
        <f ca="1">INDEX(t,MATCH("Apogée",Event,0))</f>
        <v>15.299999999999923</v>
      </c>
      <c r="I27" s="157">
        <f ca="1">INDEX(pos_z,MATCH("Apogée",Event,0))</f>
        <v>1465.9606677276442</v>
      </c>
      <c r="J27" s="155">
        <f ca="1">INDEX(pos_x,MATCH("Apogée",Event,0))</f>
        <v>433.08545246995413</v>
      </c>
      <c r="K27" s="160">
        <f ca="1">INDEX(vit_xz,MATCH("Apogée",Event,0))</f>
        <v>20.314861555342503</v>
      </c>
      <c r="L27" s="496"/>
      <c r="M27" s="500"/>
      <c r="N27" s="58"/>
    </row>
    <row r="28" spans="1:18" x14ac:dyDescent="0.2">
      <c r="A28" s="59"/>
      <c r="B28" s="534" t="s">
        <v>558</v>
      </c>
      <c r="C28" s="507" t="s">
        <v>560</v>
      </c>
      <c r="D28" s="507"/>
      <c r="F28" s="617" t="str">
        <f>IF(Lang="Français","Ouverture parachute fusée",IF(Lang="English","Rocket parachute opening",""))</f>
        <v>Ouverture parachute fusée</v>
      </c>
      <c r="G28" s="618"/>
      <c r="H28" s="152">
        <f>T_para</f>
        <v>15.5</v>
      </c>
      <c r="I28" s="156">
        <f ca="1">INDEX(pos_z,MATCH("Para",Event_para,0))</f>
        <v>1465.9433074731642</v>
      </c>
      <c r="J28" s="486">
        <f ca="1">INDEX(pos_x,MATCH("Para",Event_para,0))</f>
        <v>437.13781888982538</v>
      </c>
      <c r="K28" s="159">
        <f ca="1">INDEX(vit_xz,MATCH("Para",Event_para,0))</f>
        <v>20.256786888731444</v>
      </c>
      <c r="L28" s="495"/>
      <c r="M28" s="485">
        <f ca="1">1/2*Rho_moyen*1*V_ouverture^2*S_para</f>
        <v>120.7648658596725</v>
      </c>
      <c r="N28" s="58"/>
      <c r="P28" s="384" t="str">
        <f ca="1">IF(V_para&lt;5, IF(Lang="Français","Parachute fusée trop grand !","Parachute too big!"), IF( V_para&gt;15, IF(Lang="Français","Parachute fusée trop petit !","Parachute too small!"), ""))</f>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0.02</v>
      </c>
      <c r="F29" s="606" t="str">
        <f>IF(Lang="Français","Impact balistique",IF(Lang="English","Balistic Impact",""))</f>
        <v>Impact balistique</v>
      </c>
      <c r="G29" s="607"/>
      <c r="H29" s="497">
        <f ca="1">INDEX(t,MATCH("Impact balistique",Event,0))</f>
        <v>36.600000000000207</v>
      </c>
      <c r="I29" s="517" t="s">
        <v>428</v>
      </c>
      <c r="J29" s="487">
        <f ca="1">INDEX(pos_x,MATCH("Impact balistique",Event,0))</f>
        <v>711.72888807733182</v>
      </c>
      <c r="K29" s="501">
        <f ca="1">K47</f>
        <v>100.56539159267368</v>
      </c>
      <c r="L29" s="498"/>
      <c r="M29" s="502">
        <f ca="1">0.5*m_vide*K29^2</f>
        <v>13548.413612196488</v>
      </c>
      <c r="N29" s="58"/>
      <c r="P29" s="384" t="str">
        <f ca="1">IF( OR( V_para&lt;5, V_para&gt;15, AND(Nb_sat="1 satellite", OR(V_satellite&lt;5, V_satellite&gt;15))), IF(Lang="Français","La Vitesse de descente sous parachute doit être comprise entre 5 &amp; 15 m/s.","Fall Velocity with parachute must be between 5 &amp; 15 m/s."), "")</f>
        <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Fusée trop lègère !</v>
      </c>
    </row>
    <row r="31" spans="1:18" x14ac:dyDescent="0.2">
      <c r="A31" s="59"/>
      <c r="B31" s="141" t="str">
        <f>IF(Lang="Français","Vitesse du vent",IF(Lang="English","Wind speed",""))</f>
        <v>Vitesse du vent</v>
      </c>
      <c r="C31" s="144">
        <v>5</v>
      </c>
      <c r="D31" s="144">
        <f>V_vent</f>
        <v>5</v>
      </c>
      <c r="G31" s="483"/>
      <c r="H31" s="484"/>
      <c r="I31" s="488"/>
      <c r="N31" s="58"/>
      <c r="P31" s="384" t="e">
        <f ca="1">IF(OR(AND(Vsortie_de_rampe&lt;20,LEFT(Type_fusee,1)="F"),AND(Vsortie_de_rampe&lt;18, OR(LEFT(Type_fusee,1)=",",LEFT(Type_fusee,4)="Mini",LEFT(Type_fusee,1)="R"))),IF(Lang="Français","Fusée trop lourde ou rampe trop courte !","Rocket too heavy or launch pad too small!"),"")</f>
        <v>#N/A</v>
      </c>
    </row>
    <row r="32" spans="1:18" x14ac:dyDescent="0.2">
      <c r="A32" s="59"/>
      <c r="B32" s="133" t="str">
        <f>IF(Lang="Français","Vitesse descente",IF(Lang="English","Fall velocity",""))</f>
        <v>Vitesse descente</v>
      </c>
      <c r="C32" s="424">
        <f ca="1">SQRT(2*m_vide*g/Rho_moyen/S_para/Cx_para)</f>
        <v>9.4502964704134236</v>
      </c>
      <c r="D32" s="424">
        <f>SQRT(2*m_satellite*g/Rho_moyen/S_satellite/Cx_satellite)</f>
        <v>10.960038730752361</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2">
      <c r="A33" s="59"/>
      <c r="B33" s="133" t="str">
        <f>IF(Lang="Français","Durée descente",IF(Lang="English","Fall duration",""))</f>
        <v>Durée descente</v>
      </c>
      <c r="C33" s="132">
        <f ca="1">Alt_para/V_para</f>
        <v>155.12140937193618</v>
      </c>
      <c r="D33" s="132">
        <f ca="1">IF(V_satellite&lt;&gt;0,Alt_sat/V_satellite,0)</f>
        <v>70.129824000297674</v>
      </c>
      <c r="H33" s="608" t="str">
        <f>IF(Lang="Français","Pour localiser la fusée","To locate the rocket")</f>
        <v>Pour localiser la fusée</v>
      </c>
      <c r="I33" s="608"/>
      <c r="J33" s="482"/>
      <c r="N33" s="395"/>
      <c r="P33" s="384" t="str">
        <f ca="1">IF(ABS(Temps_culmi-T_para)&gt;2,IF(Lang="Français","Attention, aux efforts sur le parachute lors de l'ouverture !","Becarefull to the opening chute efforts!"),"")</f>
        <v/>
      </c>
    </row>
    <row r="34" spans="1:16" customFormat="1" x14ac:dyDescent="0.2">
      <c r="A34" s="59"/>
      <c r="B34" s="133" t="str">
        <f>IF(Lang="Français","Durée du vol",IF(Lang="English","Fligth duration",""))</f>
        <v>Durée du vol</v>
      </c>
      <c r="C34" s="132">
        <f ca="1">T_para+Dt_para</f>
        <v>170.62140937193618</v>
      </c>
      <c r="D34" s="132">
        <f ca="1">T_satellite+Dt_satellite</f>
        <v>74.829824000297677</v>
      </c>
      <c r="F34" s="608" t="str">
        <f>IF(Lang="Français","Couleur fuselage/coiffe","Body/Nose color")</f>
        <v>Couleur fuselage/coiffe</v>
      </c>
      <c r="G34" s="608"/>
      <c r="H34" s="604" t="s">
        <v>266</v>
      </c>
      <c r="I34" s="605"/>
      <c r="J34" s="1"/>
      <c r="K34" s="1"/>
      <c r="L34" s="1"/>
      <c r="M34" s="1"/>
      <c r="N34" s="394"/>
    </row>
    <row r="35" spans="1:16" x14ac:dyDescent="0.2">
      <c r="A35" s="74"/>
      <c r="B35" s="133" t="str">
        <f>IF(Lang="Français","Déport latéral",IF(Lang="English","Lateral shift",""))</f>
        <v>Déport latéral</v>
      </c>
      <c r="C35" s="151">
        <f ca="1">Alt_para*V_vent/V_para</f>
        <v>775.60704685968085</v>
      </c>
      <c r="D35" s="151">
        <f ca="1">IF(V_satellite&lt;&gt;0,Alt_sat*V_vent_sat/V_satellite,0)</f>
        <v>350.64912000148837</v>
      </c>
      <c r="F35" s="608" t="str">
        <f>IF(Lang="Français","Couleur parachute fusée","Rocket parachute color")</f>
        <v>Couleur parachute fusée</v>
      </c>
      <c r="G35" s="608"/>
      <c r="H35" s="604" t="s">
        <v>267</v>
      </c>
      <c r="I35" s="605"/>
      <c r="J35"/>
      <c r="K35"/>
      <c r="L35"/>
      <c r="M35"/>
      <c r="N35" s="394" t="str">
        <f>IF(Lang="Français","fichier initial","Initial file")</f>
        <v>fichier initial</v>
      </c>
      <c r="P35"/>
    </row>
    <row r="36" spans="1:16" x14ac:dyDescent="0.2">
      <c r="A36" s="59"/>
      <c r="F36" s="608" t="str">
        <f>IF(Lang="Français","Couleur parachute satellite","Satellite parachute color")</f>
        <v>Couleur parachute satellite</v>
      </c>
      <c r="G36" s="608"/>
      <c r="H36" s="612" t="s">
        <v>158</v>
      </c>
      <c r="I36" s="612"/>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567</v>
      </c>
    </row>
    <row r="40" spans="1:16" x14ac:dyDescent="0.2">
      <c r="A40" s="609" t="str">
        <f>IF(Lang="Français","Calcul de la surface d'un parachute","Parachute surface calculation")</f>
        <v>Calcul de la surface d'un parachute</v>
      </c>
      <c r="B40" s="610"/>
      <c r="C40" s="610"/>
      <c r="D40" s="611"/>
      <c r="F40" s="609" t="str">
        <f>IF(Lang="Français","Résultats détaillés","Detailled results")</f>
        <v>Résultats détaillés</v>
      </c>
      <c r="G40" s="611"/>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633" t="str">
        <f>IF(Lang="Français","Décollage",IF(Lang="English","Lift-Off",""))</f>
        <v>Décollage</v>
      </c>
      <c r="G42" s="633"/>
      <c r="H42" s="150">
        <v>3.2</v>
      </c>
      <c r="I42" s="150">
        <v>497.16938386972515</v>
      </c>
      <c r="J42" s="150">
        <v>100.55190764607381</v>
      </c>
      <c r="K42" s="150">
        <v>176.71085285003218</v>
      </c>
      <c r="L42" s="148" t="s">
        <v>14</v>
      </c>
      <c r="M42" s="149">
        <f>Beta_rampe</f>
        <v>77.775282912698117</v>
      </c>
    </row>
    <row r="43" spans="1:16" x14ac:dyDescent="0.2">
      <c r="A43" s="161"/>
      <c r="B43" s="166" t="str">
        <f>IF(Lang="Français","Bord   'a'","Side length 'a'")</f>
        <v>Bord   'a'</v>
      </c>
      <c r="D43" s="162"/>
      <c r="F43" s="620" t="str">
        <f>IF(Lang="Français","Sortie de Rampe",IF(Lang="English","Launch-Pad Exit",""))</f>
        <v>Sortie de Rampe</v>
      </c>
      <c r="G43" s="620"/>
      <c r="H43" s="115" t="e">
        <f ca="1">INDEX(t,MATCH("Sortie de rampe",Event,0))</f>
        <v>#N/A</v>
      </c>
      <c r="I43" s="115" t="e">
        <f ca="1">INDEX(pos_z,MATCH("Sortie de rampe",Event,0))</f>
        <v>#N/A</v>
      </c>
      <c r="J43" s="115" t="e">
        <f ca="1">INDEX(pos_x,MATCH("Sortie de rampe",Event,0))</f>
        <v>#N/A</v>
      </c>
      <c r="K43" s="116" t="e">
        <f ca="1">INDEX(vit_xz,MATCH("Sortie de rampe",Event,0))</f>
        <v>#N/A</v>
      </c>
      <c r="L43" s="116" t="e">
        <f ca="1">INDEX(acc_xz,MATCH("Sortie de rampe",Event,0))</f>
        <v>#N/A</v>
      </c>
      <c r="M43" s="116" t="e">
        <f ca="1">INDEX(BetaD,MATCH("Sortie de rampe",Event,0))</f>
        <v>#N/A</v>
      </c>
    </row>
    <row r="44" spans="1:16" x14ac:dyDescent="0.2">
      <c r="A44" s="161"/>
      <c r="B44" s="167">
        <v>310</v>
      </c>
      <c r="D44" s="162"/>
      <c r="F44" s="620" t="str">
        <f>IF(Lang="Français","Vit max &amp; Acc max",IF(Lang="English","Max Velocity &amp; Acc",""))</f>
        <v>Vit max &amp; Acc max</v>
      </c>
      <c r="G44" s="620"/>
      <c r="H44" s="115" t="s">
        <v>14</v>
      </c>
      <c r="I44" s="115" t="s">
        <v>14</v>
      </c>
      <c r="J44" s="115" t="s">
        <v>14</v>
      </c>
      <c r="K44" s="117">
        <f ca="1">MAX(vit_xz)</f>
        <v>195.03398553178829</v>
      </c>
      <c r="L44" s="118">
        <f ca="1">MAX(acc_xz)</f>
        <v>50.531497118881298</v>
      </c>
      <c r="M44" s="116" t="s">
        <v>14</v>
      </c>
    </row>
    <row r="45" spans="1:16" x14ac:dyDescent="0.2">
      <c r="A45" s="161"/>
      <c r="B45" s="166" t="str">
        <f>IF(Lang="Français","Coté   'b'","Side width 'b'")</f>
        <v>Coté   'b'</v>
      </c>
      <c r="D45" s="162"/>
      <c r="F45" s="620" t="str">
        <f>IF(Lang="Français","Fin de Propulsion",IF(Lang="English","Motor Burn-Out",""))</f>
        <v>Fin de Propulsion</v>
      </c>
      <c r="G45" s="620"/>
      <c r="H45" s="116">
        <f ca="1">INDEX(t,MATCH("Fin de propulsion",Event,0))</f>
        <v>4.2899999999999769</v>
      </c>
      <c r="I45" s="119">
        <f ca="1">INDEX(pos_z,MATCH("Fin de propulsion",Event,0))</f>
        <v>697.91523717679945</v>
      </c>
      <c r="J45" s="119">
        <f ca="1">INDEX(pos_x,MATCH("Fin de propulsion",Event,0))</f>
        <v>145.35871703526783</v>
      </c>
      <c r="K45" s="119">
        <f ca="1">INDEX(vit_xz,MATCH("Fin de propulsion",Event,0))</f>
        <v>184.78670733887054</v>
      </c>
      <c r="L45" s="116">
        <f ca="1">INDEX(acc_xz,MATCH("Fin de propulsion",Event,0))</f>
        <v>39.568430277176439</v>
      </c>
      <c r="M45" s="116">
        <f ca="1">INDEX(BetaD,MATCH("Fin de propulsion",Event,0))</f>
        <v>77.068220694981122</v>
      </c>
    </row>
    <row r="46" spans="1:16" x14ac:dyDescent="0.2">
      <c r="A46" s="161"/>
      <c r="B46" s="168">
        <v>310</v>
      </c>
      <c r="D46" s="162"/>
      <c r="F46" s="620" t="s">
        <v>15</v>
      </c>
      <c r="G46" s="620"/>
      <c r="H46" s="118">
        <f ca="1">INDEX(t,MATCH("Apogée",Event,0))</f>
        <v>15.299999999999923</v>
      </c>
      <c r="I46" s="117">
        <f ca="1">INDEX(pos_z,MATCH("Apogée",Event,0))</f>
        <v>1465.9606677276442</v>
      </c>
      <c r="J46" s="120">
        <f ca="1">INDEX(pos_x,MATCH("Apogée",Event,0))</f>
        <v>433.08545246995413</v>
      </c>
      <c r="K46" s="120">
        <f ca="1">INDEX(vit_xz,MATCH("Apogée",Event,0))</f>
        <v>20.314861555342503</v>
      </c>
      <c r="L46" s="116">
        <f ca="1">INDEX(acc_xz,MATCH("Apogée",Event,0))</f>
        <v>9.8467326735144383</v>
      </c>
      <c r="M46" s="121">
        <f ca="1">INDEX(BetaD,MATCH("Apogée",Event,0))</f>
        <v>2.5258140111447305</v>
      </c>
    </row>
    <row r="47" spans="1:16" x14ac:dyDescent="0.2">
      <c r="A47" s="161"/>
      <c r="B47" s="169" t="s">
        <v>9</v>
      </c>
      <c r="D47" s="162"/>
      <c r="F47" s="635" t="str">
        <f>IF(Lang="Français","Impact balistique",IF(Lang="English","Balistic Impact",""))</f>
        <v>Impact balistique</v>
      </c>
      <c r="G47" s="635"/>
      <c r="H47" s="116">
        <f ca="1">INDEX(t,MATCH("Impact balistique",Event,0))</f>
        <v>36.600000000000207</v>
      </c>
      <c r="I47" s="148" t="s">
        <v>16</v>
      </c>
      <c r="J47" s="117">
        <f ca="1">INDEX(pos_x,MATCH("Impact balistique",Event,0))</f>
        <v>711.72888807733182</v>
      </c>
      <c r="K47" s="119">
        <f ca="1">INDEX(vit_xz,MATCH("Impact balistique",Event,0))</f>
        <v>100.56539159267368</v>
      </c>
      <c r="L47" s="116">
        <f ca="1">INDEX(acc_xz,MATCH("Impact balistique",Event,0))</f>
        <v>0.62417795506172435</v>
      </c>
      <c r="M47" s="116">
        <f ca="1">INDEX(BetaD,MATCH("Impact balistique",Event,0))</f>
        <v>-86.952910524761975</v>
      </c>
    </row>
    <row r="48" spans="1:16" x14ac:dyDescent="0.2">
      <c r="A48" s="161"/>
      <c r="B48" s="174">
        <f>(4*B44*B46+B44^2)/10^6</f>
        <v>0.48049999999999998</v>
      </c>
      <c r="D48" s="162"/>
      <c r="F48" s="618" t="str">
        <f>IF(Lang="Français","Ouverture parachute fusée",IF(Lang="English","Rocket parachute opening",""))</f>
        <v>Ouverture parachute fusée</v>
      </c>
      <c r="G48" s="618"/>
      <c r="H48" s="122">
        <f>T_para</f>
        <v>15.5</v>
      </c>
      <c r="I48" s="123">
        <f ca="1">INDEX(pos_z,MATCH("Para",Event_para,0))</f>
        <v>1465.9433074731642</v>
      </c>
      <c r="J48" s="123">
        <f ca="1">INDEX(pos_x,MATCH("Para",Event_para,0))</f>
        <v>437.13781888982538</v>
      </c>
      <c r="K48" s="123">
        <f ca="1">INDEX(vit_xz,MATCH("Para",Event_para,0))</f>
        <v>20.256786888731444</v>
      </c>
      <c r="L48" s="122">
        <f ca="1">INDEX(acc_xz,MATCH("Para",Event_para,0))</f>
        <v>9.8141843664331958</v>
      </c>
      <c r="M48" s="124">
        <f ca="1">INDEX(BetaD,MATCH("Para",Event_para,0))</f>
        <v>-3.022385415533043</v>
      </c>
    </row>
    <row r="49" spans="1:13" x14ac:dyDescent="0.2">
      <c r="A49" s="161"/>
      <c r="D49" s="162"/>
      <c r="F49" s="636" t="str">
        <f>IF(Lang="Français","Impact fusée sous para.",IF(Lang="English","Impact of rocket with para. ",""))</f>
        <v>Impact fusée sous para.</v>
      </c>
      <c r="G49" s="636"/>
      <c r="H49" s="125">
        <f ca="1">T_para+Dt_para</f>
        <v>170.62140937193618</v>
      </c>
      <c r="I49" s="127" t="s">
        <v>16</v>
      </c>
      <c r="J49" s="126" t="str">
        <f ca="1">CONCATENATE(TEXT(X_para-Dx_para,"0")," | ",TEXT(X_para+Dx_para,"0"))</f>
        <v>-338 | 1213</v>
      </c>
      <c r="K49" s="126">
        <f ca="1">V_para</f>
        <v>9.4502964704134236</v>
      </c>
      <c r="L49" s="128">
        <f>g</f>
        <v>9.81</v>
      </c>
      <c r="M49" s="128" t="s">
        <v>14</v>
      </c>
    </row>
    <row r="50" spans="1:13" x14ac:dyDescent="0.2">
      <c r="A50" s="161"/>
      <c r="D50" s="162"/>
      <c r="F50" s="634" t="str">
        <f>IF(Lang="Français","Largage du satellite",IF(Lang="English","Satellite separation",""))</f>
        <v>Largage du satellite</v>
      </c>
      <c r="G50" s="622"/>
      <c r="H50" s="122">
        <f>IF(T_satellite&lt;&gt;0,T_satellite,"")</f>
        <v>4.7</v>
      </c>
      <c r="I50" s="123">
        <f ca="1">IF(T_satellite&lt;&gt;0,INDEX(pos_z,MATCH("Satellite",Event_sat,0)),"")</f>
        <v>768.62558722410893</v>
      </c>
      <c r="J50" s="129">
        <f ca="1">IF(T_satellite&lt;&gt;0,INDEX(pos_x,MATCH("Satellite",Event_sat,0)),"")</f>
        <v>161.78036954438997</v>
      </c>
      <c r="K50" s="123">
        <f ca="1">IF(T_satellite&lt;&gt;0,INDEX(vit_xz,MATCH("Satellite",Event_sat,0)),"")</f>
        <v>169.65509087837506</v>
      </c>
      <c r="L50" s="122">
        <f ca="1">IF(T_satellite&lt;&gt;0,INDEX(acc_xz,MATCH("Satellite",Event_sat,0)),"")</f>
        <v>34.681816464152284</v>
      </c>
      <c r="M50" s="124">
        <f ca="1">IF(T_satellite&lt;&gt;0,INDEX(BetaD,MATCH("Satellite",Event_sat,0)),"")</f>
        <v>76.773282107604018</v>
      </c>
    </row>
    <row r="51" spans="1:13" x14ac:dyDescent="0.2">
      <c r="A51" s="161"/>
      <c r="B51" s="166" t="str">
        <f>IF(Lang="Français","Rayon exterieur","Half-diameter ext")</f>
        <v>Rayon exterieur</v>
      </c>
      <c r="D51" s="162"/>
      <c r="F51" s="631" t="str">
        <f>IF(Lang="Français","Impact du satellite",IF(Lang="English","Satellite impact",""))</f>
        <v>Impact du satellite</v>
      </c>
      <c r="G51" s="632"/>
      <c r="H51" s="125">
        <f ca="1">IF(T_satellite&lt;&gt;0,T_satellite+Dt_satellite,"")</f>
        <v>74.829824000297677</v>
      </c>
      <c r="I51" s="130" t="str">
        <f>IF(T_satellite&lt;&gt;0,"~0","")</f>
        <v>~0</v>
      </c>
      <c r="J51" s="130" t="str">
        <f ca="1">IF(T_satellite&lt;&gt;0,CONCATENATE(TEXT(X_satellite-Dx_sat,"0")," | ",TEXT(X_satellite+Dx_sat,"0")),"")</f>
        <v>-189 | 512</v>
      </c>
      <c r="K51" s="130">
        <f>IF(T_satellite&lt;&gt;0,V_satellite,"")</f>
        <v>10.960038730752361</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559</v>
      </c>
    </row>
    <row r="105" spans="2:9" x14ac:dyDescent="0.2">
      <c r="B105" s="1" t="s">
        <v>120</v>
      </c>
      <c r="F105" s="477">
        <f ca="1">Combustion+Depotage-9</f>
        <v>4.9700000000000006</v>
      </c>
      <c r="G105" s="478" t="s">
        <v>409</v>
      </c>
      <c r="I105" s="1" t="s">
        <v>560</v>
      </c>
    </row>
    <row r="106" spans="2:9" x14ac:dyDescent="0.2">
      <c r="B106" s="1" t="s">
        <v>121</v>
      </c>
      <c r="F106" s="477">
        <f ca="1">Combustion+Depotage-7</f>
        <v>6.9700000000000006</v>
      </c>
      <c r="G106" s="478" t="s">
        <v>410</v>
      </c>
      <c r="I106" s="1" t="s">
        <v>561</v>
      </c>
    </row>
    <row r="107" spans="2:9" x14ac:dyDescent="0.2">
      <c r="B107" s="1" t="str">
        <f>IF(T_para&gt;0,IF(Lang="Français","Phase ascendante","Climbing phase"),"")</f>
        <v>Phase ascendante</v>
      </c>
      <c r="F107" s="477">
        <f ca="1">Combustion+Depotage-5</f>
        <v>8.9700000000000006</v>
      </c>
      <c r="G107" s="478" t="s">
        <v>411</v>
      </c>
    </row>
    <row r="108" spans="2:9" x14ac:dyDescent="0.2">
      <c r="B108" s="1" t="str">
        <f>IF(Lang="Français","Descente balistique","Balistic fall")</f>
        <v>Descente balistique</v>
      </c>
      <c r="F108" s="477">
        <f ca="1">Combustion+Depotage-3</f>
        <v>10.97</v>
      </c>
      <c r="G108" s="478" t="s">
        <v>412</v>
      </c>
    </row>
    <row r="109" spans="2:9" x14ac:dyDescent="0.2">
      <c r="B109" s="1" t="str">
        <f>IF(T_para&gt;0,IF(Lang="Français","Fusée sous parachute","Rocket under parachute"),"")</f>
        <v>Fusée sous parachute</v>
      </c>
      <c r="F109" s="477">
        <f ca="1">Combustion+Depotage</f>
        <v>13.97</v>
      </c>
      <c r="G109" s="478" t="s">
        <v>413</v>
      </c>
    </row>
    <row r="110" spans="2:9" x14ac:dyDescent="0.2">
      <c r="B110" s="1" t="str">
        <f>IF(AND(Nb_sat="1 satellite",T_satellite&gt;0),IF(Lang="Français","Satellite sous parachute","Satellite over parachute"),"")</f>
        <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15.5</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1465.9606677276442</v>
      </c>
      <c r="C121" s="216">
        <f ca="1">MAX(Altitude_culmi,Portee_balistique)</f>
        <v>1465.9606677276442</v>
      </c>
    </row>
    <row r="123" spans="2:3" x14ac:dyDescent="0.2">
      <c r="B123" s="210" t="s">
        <v>49</v>
      </c>
      <c r="C123" s="211" t="s">
        <v>45</v>
      </c>
    </row>
    <row r="124" spans="2:3" x14ac:dyDescent="0.2">
      <c r="B124" s="217">
        <f ca="1">X_para</f>
        <v>437.13781888982538</v>
      </c>
      <c r="C124" s="214">
        <f ca="1">Alt_para</f>
        <v>1465.9433074731642</v>
      </c>
    </row>
    <row r="125" spans="2:3" x14ac:dyDescent="0.2">
      <c r="B125" s="217">
        <f ca="1">X_para</f>
        <v>437.13781888982538</v>
      </c>
      <c r="C125" s="214">
        <f ca="1">Alt_para/2</f>
        <v>732.97165373658208</v>
      </c>
    </row>
    <row r="126" spans="2:3" x14ac:dyDescent="0.2">
      <c r="B126" s="217">
        <f ca="1">X_para</f>
        <v>437.13781888982538</v>
      </c>
      <c r="C126" s="214">
        <v>0</v>
      </c>
    </row>
    <row r="127" spans="2:3" x14ac:dyDescent="0.2">
      <c r="B127" s="217">
        <f ca="1">X_para+Alt_para/40</f>
        <v>473.7864015766545</v>
      </c>
      <c r="C127" s="214">
        <f ca="1">Alt_para/20</f>
        <v>73.297165373658203</v>
      </c>
    </row>
    <row r="128" spans="2:3" x14ac:dyDescent="0.2">
      <c r="B128" s="217">
        <f ca="1">X_para</f>
        <v>437.13781888982538</v>
      </c>
      <c r="C128" s="214">
        <v>0</v>
      </c>
    </row>
    <row r="129" spans="2:6" x14ac:dyDescent="0.2">
      <c r="B129" s="217">
        <f ca="1">X_para-Alt_para/40</f>
        <v>400.48923620299627</v>
      </c>
      <c r="C129" s="214">
        <f ca="1">Alt_para/20</f>
        <v>73.297165373658203</v>
      </c>
    </row>
    <row r="130" spans="2:6" x14ac:dyDescent="0.2">
      <c r="B130" s="218">
        <f ca="1">X_para</f>
        <v>437.13781888982538</v>
      </c>
      <c r="C130" s="219">
        <v>0</v>
      </c>
    </row>
    <row r="131" spans="2:6" x14ac:dyDescent="0.2">
      <c r="B131" s="210" t="s">
        <v>48</v>
      </c>
      <c r="C131" s="211" t="s">
        <v>45</v>
      </c>
    </row>
    <row r="132" spans="2:6" x14ac:dyDescent="0.2">
      <c r="B132" s="213">
        <f>T_para</f>
        <v>15.5</v>
      </c>
      <c r="C132" s="214">
        <f ca="1">Alt_para</f>
        <v>1465.9433074731642</v>
      </c>
    </row>
    <row r="133" spans="2:6" x14ac:dyDescent="0.2">
      <c r="B133" s="213">
        <f ca="1">(B132+B134)/2</f>
        <v>93.060704685968091</v>
      </c>
      <c r="C133" s="214">
        <f ca="1">(C132+C134)/2</f>
        <v>732.97165373658208</v>
      </c>
      <c r="E133" s="232">
        <v>1</v>
      </c>
      <c r="F133" s="233" t="s">
        <v>175</v>
      </c>
    </row>
    <row r="134" spans="2:6" x14ac:dyDescent="0.2">
      <c r="B134" s="213">
        <f ca="1">H49</f>
        <v>170.62140937193618</v>
      </c>
      <c r="C134" s="214">
        <f>0</f>
        <v>0</v>
      </c>
      <c r="E134" s="161">
        <v>1</v>
      </c>
      <c r="F134" s="234" t="s">
        <v>176</v>
      </c>
    </row>
    <row r="135" spans="2:6" x14ac:dyDescent="0.2">
      <c r="B135" s="213">
        <f ca="1">H49+E133*sS/2*zZ_fus-E134*sS*tT_fus</f>
        <v>169.12389988534142</v>
      </c>
      <c r="C135" s="214">
        <f ca="1">Alt_para-V_para*(H49-T_para)+E133*sS*Altitude_culmi/H49*zZ_fus+E134*sS/2*Altitude_culmi/H49*tT_fus</f>
        <v>45.741124088886806</v>
      </c>
      <c r="E135" s="161"/>
      <c r="F135" s="241" t="s">
        <v>177</v>
      </c>
    </row>
    <row r="136" spans="2:6" x14ac:dyDescent="0.2">
      <c r="B136" s="213">
        <f ca="1">H49</f>
        <v>170.62140937193618</v>
      </c>
      <c r="C136" s="214">
        <f ca="1">Alt_para-V_para*(H49-T_para)</f>
        <v>0</v>
      </c>
      <c r="E136" s="235" t="s">
        <v>172</v>
      </c>
      <c r="F136" s="236">
        <f ca="1">T_balistique/10</f>
        <v>3.6600000000000206</v>
      </c>
    </row>
    <row r="137" spans="2:6" x14ac:dyDescent="0.2">
      <c r="B137" s="213">
        <f ca="1">H49-E133*sS/2*zZ_fus-E134*sS*tT_fus</f>
        <v>165.46389988534139</v>
      </c>
      <c r="C137" s="214">
        <f ca="1">Alt_para-V_para*(H49-T_para)+E133*sS*Altitude_culmi/H49*zZ_fus-E134*sS/2*Altitude_culmi/H49*tT_fus</f>
        <v>17.151523013648635</v>
      </c>
      <c r="E137" s="235" t="s">
        <v>173</v>
      </c>
      <c r="F137" s="236">
        <f ca="1">(H49-T_para)/H49</f>
        <v>0.90915559743026342</v>
      </c>
    </row>
    <row r="138" spans="2:6" x14ac:dyDescent="0.2">
      <c r="B138" s="215">
        <f ca="1">H49</f>
        <v>170.62140937193618</v>
      </c>
      <c r="C138" s="216">
        <f ca="1">Alt_para-V_para*(H49-T_para)</f>
        <v>0</v>
      </c>
      <c r="E138" s="237" t="s">
        <v>174</v>
      </c>
      <c r="F138" s="238">
        <f ca="1">V_para*(H49-T_para)/Alt_para</f>
        <v>1</v>
      </c>
    </row>
    <row r="140" spans="2:6" x14ac:dyDescent="0.2">
      <c r="B140" s="210" t="s">
        <v>51</v>
      </c>
      <c r="C140" s="211" t="s">
        <v>46</v>
      </c>
    </row>
    <row r="141" spans="2:6" x14ac:dyDescent="0.2">
      <c r="B141" s="217" t="b">
        <f>IF(Nb_sat="1 satellite",X_satellite)</f>
        <v>0</v>
      </c>
      <c r="C141" s="214" t="b">
        <f>IF(Nb_sat="1 satellite",Alt_sat)</f>
        <v>0</v>
      </c>
    </row>
    <row r="142" spans="2:6" x14ac:dyDescent="0.2">
      <c r="B142" s="217" t="b">
        <f>IF(Nb_sat="1 satellite",X_satellite)</f>
        <v>0</v>
      </c>
      <c r="C142" s="214" t="b">
        <f>IF(Nb_sat="1 satellite",Alt_sat*1/4)</f>
        <v>0</v>
      </c>
    </row>
    <row r="143" spans="2:6" x14ac:dyDescent="0.2">
      <c r="B143" s="217" t="b">
        <f>IF(Nb_sat="1 satellite",X_satellite)</f>
        <v>0</v>
      </c>
      <c r="C143" s="214" t="b">
        <f>IF(Nb_sat="1 satellite",0)</f>
        <v>0</v>
      </c>
    </row>
    <row r="144" spans="2:6" x14ac:dyDescent="0.2">
      <c r="B144" s="217" t="b">
        <f>IF(Nb_sat="1 satellite",X_satellite+Alt_sat/40)</f>
        <v>0</v>
      </c>
      <c r="C144" s="214" t="b">
        <f>IF(Nb_sat="1 satellite",Alt_sat/20)</f>
        <v>0</v>
      </c>
    </row>
    <row r="145" spans="2:6" x14ac:dyDescent="0.2">
      <c r="B145" s="217" t="b">
        <f>IF(Nb_sat="1 satellite",X_satellite)</f>
        <v>0</v>
      </c>
      <c r="C145" s="214" t="b">
        <f>IF(Nb_sat="1 satellite",0)</f>
        <v>0</v>
      </c>
    </row>
    <row r="146" spans="2:6" x14ac:dyDescent="0.2">
      <c r="B146" s="217" t="b">
        <f>IF(Nb_sat="1 satellite",X_satellite-Alt_sat/40)</f>
        <v>0</v>
      </c>
      <c r="C146" s="214" t="b">
        <f>IF(Nb_sat="1 satellite",Alt_sat/20)</f>
        <v>0</v>
      </c>
    </row>
    <row r="147" spans="2:6" x14ac:dyDescent="0.2">
      <c r="B147" s="218" t="b">
        <f>IF(Nb_sat="1 satellite",X_satellite)</f>
        <v>0</v>
      </c>
      <c r="C147" s="214" t="b">
        <f>IF(Nb_sat="1 satellite",0)</f>
        <v>0</v>
      </c>
    </row>
    <row r="148" spans="2:6" x14ac:dyDescent="0.2">
      <c r="B148" s="210" t="s">
        <v>50</v>
      </c>
      <c r="C148" s="211" t="s">
        <v>46</v>
      </c>
    </row>
    <row r="149" spans="2:6" x14ac:dyDescent="0.2">
      <c r="B149" s="213" t="b">
        <f>IF(Nb_sat="1 satellite",T_satellite)</f>
        <v>0</v>
      </c>
      <c r="C149" s="214" t="b">
        <f>IF(Nb_sat="1 satellite",Alt_sat)</f>
        <v>0</v>
      </c>
      <c r="D149" s="221"/>
    </row>
    <row r="150" spans="2:6" x14ac:dyDescent="0.2">
      <c r="B150" s="213">
        <f>(B149+B151)/2</f>
        <v>0</v>
      </c>
      <c r="C150" s="214">
        <f>(C149+C151)/2</f>
        <v>0</v>
      </c>
      <c r="D150" s="221"/>
    </row>
    <row r="151" spans="2:6" x14ac:dyDescent="0.2">
      <c r="B151" s="213" t="b">
        <f>IF(Nb_sat="1 satellite",H51)</f>
        <v>0</v>
      </c>
      <c r="C151" s="214" t="b">
        <f>IF(Nb_sat="1 satellite",0)</f>
        <v>0</v>
      </c>
    </row>
    <row r="152" spans="2:6" x14ac:dyDescent="0.2">
      <c r="B152" s="213" t="b">
        <f>IF(Nb_sat="1 satellite",H51+E133*sS/2*zZ_sat-E134*sS*tT_sat)</f>
        <v>0</v>
      </c>
      <c r="C152" s="214" t="b">
        <f>IF(Nb_sat="1 satellite",Alt_sat-V_satellite*(H51-T_satellite)+E133*sS*Altitude_culmi/H51*zZ_sat+E134*sS/2*Altitude_culmi/H51*tT_sat)</f>
        <v>0</v>
      </c>
      <c r="D152" s="221"/>
    </row>
    <row r="153" spans="2:6" x14ac:dyDescent="0.2">
      <c r="B153" s="213" t="b">
        <f>IF(Nb_sat="1 satellite",H51)</f>
        <v>0</v>
      </c>
      <c r="C153" s="214" t="b">
        <f>IF(Nb_sat="1 satellite",0)</f>
        <v>0</v>
      </c>
    </row>
    <row r="154" spans="2:6" x14ac:dyDescent="0.2">
      <c r="B154" s="213" t="b">
        <f>IF(Nb_sat="1 satellite",H51-sS/2*zZ_sat-E134*sS*tT_sat)</f>
        <v>0</v>
      </c>
      <c r="C154" s="214" t="b">
        <f>IF(Nb_sat="1 satellite",Alt_sat-V_satellite*(H51-T_satellite)+E133*sS*Altitude_culmi/H51*zZ_sat-E134*sS/2*Altitude_culmi/H51*tT_sat)</f>
        <v>0</v>
      </c>
      <c r="E154" s="239" t="s">
        <v>173</v>
      </c>
      <c r="F154" s="240">
        <f ca="1">(T_balistique-T_satellite)/T_balistique</f>
        <v>0.87158469945355266</v>
      </c>
    </row>
    <row r="155" spans="2:6" x14ac:dyDescent="0.2">
      <c r="B155" s="215" t="b">
        <f>IF(Nb_sat="1 satellite",H51)</f>
        <v>0</v>
      </c>
      <c r="C155" s="216" t="b">
        <f>IF(Nb_sat="1 satellite",0)</f>
        <v>0</v>
      </c>
      <c r="E155" s="237" t="s">
        <v>174</v>
      </c>
      <c r="F155" s="238">
        <f ca="1">V_satellite*(T_balistique-T_satellite)/Alt_sat</f>
        <v>0.4548706695722608</v>
      </c>
    </row>
    <row r="157" spans="2:6" x14ac:dyDescent="0.2">
      <c r="B157" s="210" t="s">
        <v>2</v>
      </c>
      <c r="C157" s="228" t="s">
        <v>29</v>
      </c>
      <c r="D157" s="211" t="s">
        <v>3</v>
      </c>
    </row>
    <row r="158" spans="2:6" x14ac:dyDescent="0.2">
      <c r="B158" s="231">
        <f>T_para/4</f>
        <v>3.875</v>
      </c>
      <c r="C158" s="82">
        <f ca="1">Alt_para/2</f>
        <v>732.97165373658208</v>
      </c>
      <c r="D158" s="214">
        <f ca="1">X_para/4</f>
        <v>109.28445472245635</v>
      </c>
    </row>
    <row r="159" spans="2:6" x14ac:dyDescent="0.2">
      <c r="B159" s="229">
        <f ca="1">Temps_culmi + (T_balistique-Temps_culmi)/2</f>
        <v>25.950000000000067</v>
      </c>
      <c r="C159" s="230">
        <f ca="1">Altitude_culmi/2</f>
        <v>732.98033386382212</v>
      </c>
      <c r="D159" s="216">
        <f ca="1">X_culmi+(Portee_balistique-X_culmi)*2/3</f>
        <v>618.84774287487255</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433.08545246995413</v>
      </c>
      <c r="E162" s="422"/>
      <c r="F162" s="423" t="s">
        <v>305</v>
      </c>
    </row>
    <row r="163" spans="2:6" x14ac:dyDescent="0.2">
      <c r="B163" s="231" t="e">
        <f ca="1">IF(AND(Altitude_culmi&gt;80, Altitude_culmi&lt;=350), 49, NA())</f>
        <v>#N/A</v>
      </c>
      <c r="C163" s="5">
        <v>23</v>
      </c>
      <c r="D163" s="82">
        <f t="shared" ca="1" si="0"/>
        <v>456.08545246995413</v>
      </c>
      <c r="E163" s="82"/>
      <c r="F163" s="214">
        <f t="shared" ref="F163:F178" ca="1" si="1">X_culmi-C162</f>
        <v>433.08545246995413</v>
      </c>
    </row>
    <row r="164" spans="2:6" x14ac:dyDescent="0.2">
      <c r="B164" s="231" t="e">
        <f ca="1">IF(AND(Altitude_culmi&gt;80, Altitude_culmi&lt;=350), 43, NA())</f>
        <v>#N/A</v>
      </c>
      <c r="C164" s="5">
        <v>23</v>
      </c>
      <c r="D164" s="82">
        <f t="shared" ca="1" si="0"/>
        <v>456.08545246995413</v>
      </c>
      <c r="E164" s="82"/>
      <c r="F164" s="214">
        <f t="shared" ca="1" si="1"/>
        <v>410.08545246995413</v>
      </c>
    </row>
    <row r="165" spans="2:6" x14ac:dyDescent="0.2">
      <c r="B165" s="231" t="e">
        <f ca="1">IF(AND(Altitude_culmi&gt;80, Altitude_culmi&lt;=350), 43, NA())</f>
        <v>#N/A</v>
      </c>
      <c r="C165" s="5">
        <v>0</v>
      </c>
      <c r="D165" s="82">
        <f t="shared" ca="1" si="0"/>
        <v>433.08545246995413</v>
      </c>
      <c r="E165" s="82"/>
      <c r="F165" s="214">
        <f t="shared" ca="1" si="1"/>
        <v>410.08545246995413</v>
      </c>
    </row>
    <row r="166" spans="2:6" x14ac:dyDescent="0.2">
      <c r="B166" s="231" t="e">
        <f ca="1">IF(AND(Altitude_culmi&gt;80, Altitude_culmi&lt;=350), 43, NA())</f>
        <v>#N/A</v>
      </c>
      <c r="C166" s="5">
        <v>23</v>
      </c>
      <c r="D166" s="82">
        <f t="shared" ca="1" si="0"/>
        <v>456.08545246995413</v>
      </c>
      <c r="E166" s="82"/>
      <c r="F166" s="214">
        <f t="shared" ca="1" si="1"/>
        <v>433.08545246995413</v>
      </c>
    </row>
    <row r="167" spans="2:6" x14ac:dyDescent="0.2">
      <c r="B167" s="231" t="e">
        <f ca="1">IF(AND(Altitude_culmi&gt;80, Altitude_culmi&lt;=350), 0.5, NA())</f>
        <v>#N/A</v>
      </c>
      <c r="C167" s="5">
        <v>23</v>
      </c>
      <c r="D167" s="82">
        <f t="shared" ca="1" si="0"/>
        <v>456.08545246995413</v>
      </c>
      <c r="E167" s="82"/>
      <c r="F167" s="214">
        <f t="shared" ca="1" si="1"/>
        <v>410.08545246995413</v>
      </c>
    </row>
    <row r="168" spans="2:6" x14ac:dyDescent="0.2">
      <c r="B168" s="231" t="e">
        <f ca="1">IF(AND(Altitude_culmi&gt;80, Altitude_culmi&lt;=350), 0.5, NA())</f>
        <v>#N/A</v>
      </c>
      <c r="C168" s="5">
        <v>8</v>
      </c>
      <c r="D168" s="82">
        <f t="shared" ca="1" si="0"/>
        <v>441.08545246995413</v>
      </c>
      <c r="E168" s="82"/>
      <c r="F168" s="214">
        <f t="shared" ca="1" si="1"/>
        <v>410.08545246995413</v>
      </c>
    </row>
    <row r="169" spans="2:6" x14ac:dyDescent="0.2">
      <c r="B169" s="231" t="e">
        <f ca="1">IF(AND(Altitude_culmi&gt;80, Altitude_culmi&lt;=350), 27, NA())</f>
        <v>#N/A</v>
      </c>
      <c r="C169" s="5">
        <v>8</v>
      </c>
      <c r="D169" s="82">
        <f t="shared" ca="1" si="0"/>
        <v>441.08545246995413</v>
      </c>
      <c r="E169" s="82"/>
      <c r="F169" s="214">
        <f t="shared" ca="1" si="1"/>
        <v>425.08545246995413</v>
      </c>
    </row>
    <row r="170" spans="2:6" x14ac:dyDescent="0.2">
      <c r="B170" s="231" t="e">
        <f ca="1">IF(AND(Altitude_culmi&gt;80, Altitude_culmi&lt;=350), 27, NA())</f>
        <v>#N/A</v>
      </c>
      <c r="C170" s="5">
        <v>23</v>
      </c>
      <c r="D170" s="82">
        <f t="shared" ca="1" si="0"/>
        <v>456.08545246995413</v>
      </c>
      <c r="E170" s="82"/>
      <c r="F170" s="214">
        <f t="shared" ca="1" si="1"/>
        <v>425.08545246995413</v>
      </c>
    </row>
    <row r="171" spans="2:6" x14ac:dyDescent="0.2">
      <c r="B171" s="231" t="e">
        <f ca="1">IF(AND(Altitude_culmi&gt;80, Altitude_culmi&lt;=350), 27, NA())</f>
        <v>#N/A</v>
      </c>
      <c r="C171" s="5">
        <v>8</v>
      </c>
      <c r="D171" s="82">
        <f t="shared" ca="1" si="0"/>
        <v>441.08545246995413</v>
      </c>
      <c r="E171" s="82"/>
      <c r="F171" s="214">
        <f t="shared" ca="1" si="1"/>
        <v>410.08545246995413</v>
      </c>
    </row>
    <row r="172" spans="2:6" x14ac:dyDescent="0.2">
      <c r="B172" s="231" t="e">
        <f ca="1">IF(AND(Altitude_culmi&gt;80, Altitude_culmi&lt;=350), 29, NA())</f>
        <v>#N/A</v>
      </c>
      <c r="C172" s="5">
        <v>7.6</v>
      </c>
      <c r="D172" s="82">
        <f t="shared" ca="1" si="0"/>
        <v>440.68545246995416</v>
      </c>
      <c r="E172" s="82"/>
      <c r="F172" s="214">
        <f t="shared" ca="1" si="1"/>
        <v>425.08545246995413</v>
      </c>
    </row>
    <row r="173" spans="2:6" x14ac:dyDescent="0.2">
      <c r="B173" s="231" t="e">
        <f ca="1">IF(AND(Altitude_culmi&gt;80, Altitude_culmi&lt;=350), 31, NA())</f>
        <v>#N/A</v>
      </c>
      <c r="C173" s="5">
        <v>6.8</v>
      </c>
      <c r="D173" s="82">
        <f t="shared" ca="1" si="0"/>
        <v>439.88545246995415</v>
      </c>
      <c r="E173" s="82"/>
      <c r="F173" s="214">
        <f t="shared" ca="1" si="1"/>
        <v>425.48545246995411</v>
      </c>
    </row>
    <row r="174" spans="2:6" x14ac:dyDescent="0.2">
      <c r="B174" s="231" t="e">
        <f ca="1">IF(AND(Altitude_culmi&gt;80, Altitude_culmi&lt;=350), 32, NA())</f>
        <v>#N/A</v>
      </c>
      <c r="C174" s="5">
        <v>6</v>
      </c>
      <c r="D174" s="82">
        <f t="shared" ca="1" si="0"/>
        <v>439.08545246995413</v>
      </c>
      <c r="E174" s="82"/>
      <c r="F174" s="214">
        <f t="shared" ca="1" si="1"/>
        <v>426.28545246995412</v>
      </c>
    </row>
    <row r="175" spans="2:6" x14ac:dyDescent="0.2">
      <c r="B175" s="231" t="e">
        <f ca="1">IF(AND(Altitude_culmi&gt;80, Altitude_culmi&lt;=350), 33, NA())</f>
        <v>#N/A</v>
      </c>
      <c r="C175" s="5">
        <v>5</v>
      </c>
      <c r="D175" s="82">
        <f t="shared" ca="1" si="0"/>
        <v>438.08545246995413</v>
      </c>
      <c r="E175" s="82"/>
      <c r="F175" s="214">
        <f t="shared" ca="1" si="1"/>
        <v>427.08545246995413</v>
      </c>
    </row>
    <row r="176" spans="2:6" x14ac:dyDescent="0.2">
      <c r="B176" s="231" t="e">
        <f ca="1">IF(AND(Altitude_culmi&gt;80, Altitude_culmi&lt;=350), 34, NA())</f>
        <v>#N/A</v>
      </c>
      <c r="C176" s="5">
        <v>3.8</v>
      </c>
      <c r="D176" s="82">
        <f t="shared" ca="1" si="0"/>
        <v>436.88545246995415</v>
      </c>
      <c r="E176" s="82"/>
      <c r="F176" s="214">
        <f t="shared" ca="1" si="1"/>
        <v>428.08545246995413</v>
      </c>
    </row>
    <row r="177" spans="2:6" x14ac:dyDescent="0.2">
      <c r="B177" s="229" t="e">
        <f ca="1">IF(AND(Altitude_culmi&gt;80, Altitude_culmi&lt;=350), 35, NA())</f>
        <v>#N/A</v>
      </c>
      <c r="C177" s="421">
        <v>0</v>
      </c>
      <c r="D177" s="230">
        <f t="shared" ca="1" si="0"/>
        <v>433.08545246995413</v>
      </c>
      <c r="E177" s="82"/>
      <c r="F177" s="214">
        <f t="shared" ca="1" si="1"/>
        <v>429.28545246995412</v>
      </c>
    </row>
    <row r="178" spans="2:6" x14ac:dyDescent="0.2">
      <c r="E178" s="230"/>
      <c r="F178" s="216">
        <f t="shared" ca="1" si="1"/>
        <v>433.08545246995413</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433.08545246995413</v>
      </c>
      <c r="E180" s="228"/>
      <c r="F180" s="211" t="s">
        <v>308</v>
      </c>
    </row>
    <row r="181" spans="2:6" x14ac:dyDescent="0.2">
      <c r="B181" s="231">
        <f ca="1">IF(Altitude_culmi&gt;350, 300, NA())</f>
        <v>300</v>
      </c>
      <c r="C181" s="5">
        <v>0</v>
      </c>
      <c r="D181" s="82">
        <f t="shared" ca="1" si="2"/>
        <v>433.08545246995413</v>
      </c>
      <c r="E181" s="82"/>
      <c r="F181" s="214">
        <f t="shared" ref="F181:F201" ca="1" si="3">X_culmi-C180</f>
        <v>433.08545246995413</v>
      </c>
    </row>
    <row r="182" spans="2:6" x14ac:dyDescent="0.2">
      <c r="B182" s="231">
        <f ca="1">IF(Altitude_culmi&gt;350, 280, NA())</f>
        <v>280</v>
      </c>
      <c r="C182" s="5">
        <v>10</v>
      </c>
      <c r="D182" s="82">
        <f t="shared" ca="1" si="2"/>
        <v>443.08545246995413</v>
      </c>
      <c r="E182" s="82"/>
      <c r="F182" s="214">
        <f t="shared" ca="1" si="3"/>
        <v>433.08545246995413</v>
      </c>
    </row>
    <row r="183" spans="2:6" x14ac:dyDescent="0.2">
      <c r="B183" s="231">
        <f ca="1">IF(Altitude_culmi&gt;350, 280, NA())</f>
        <v>280</v>
      </c>
      <c r="C183" s="5">
        <v>0</v>
      </c>
      <c r="D183" s="82">
        <f t="shared" ca="1" si="2"/>
        <v>433.08545246995413</v>
      </c>
      <c r="E183" s="82"/>
      <c r="F183" s="214">
        <f t="shared" ca="1" si="3"/>
        <v>423.08545246995413</v>
      </c>
    </row>
    <row r="184" spans="2:6" x14ac:dyDescent="0.2">
      <c r="B184" s="231">
        <f ca="1">IF(Altitude_culmi&gt;350, 280, NA())</f>
        <v>280</v>
      </c>
      <c r="C184" s="5">
        <v>10</v>
      </c>
      <c r="D184" s="82">
        <f t="shared" ca="1" si="2"/>
        <v>443.08545246995413</v>
      </c>
      <c r="E184" s="82"/>
      <c r="F184" s="214">
        <f t="shared" ca="1" si="3"/>
        <v>433.08545246995413</v>
      </c>
    </row>
    <row r="185" spans="2:6" x14ac:dyDescent="0.2">
      <c r="B185" s="231">
        <f ca="1">IF(Altitude_culmi&gt;350, 200, NA())</f>
        <v>200</v>
      </c>
      <c r="C185" s="5">
        <v>13</v>
      </c>
      <c r="D185" s="82">
        <f t="shared" ca="1" si="2"/>
        <v>446.08545246995413</v>
      </c>
      <c r="E185" s="82"/>
      <c r="F185" s="214">
        <f t="shared" ca="1" si="3"/>
        <v>423.08545246995413</v>
      </c>
    </row>
    <row r="186" spans="2:6" x14ac:dyDescent="0.2">
      <c r="B186" s="231">
        <f ca="1">IF(Altitude_culmi&gt;350, 160, NA())</f>
        <v>160</v>
      </c>
      <c r="C186" s="5">
        <v>17</v>
      </c>
      <c r="D186" s="82">
        <f t="shared" ca="1" si="2"/>
        <v>450.08545246995413</v>
      </c>
      <c r="E186" s="82"/>
      <c r="F186" s="214">
        <f t="shared" ca="1" si="3"/>
        <v>420.08545246995413</v>
      </c>
    </row>
    <row r="187" spans="2:6" x14ac:dyDescent="0.2">
      <c r="B187" s="231">
        <f ca="1">IF(Altitude_culmi&gt;350, 115, NA())</f>
        <v>115</v>
      </c>
      <c r="C187" s="5">
        <v>20</v>
      </c>
      <c r="D187" s="82">
        <f t="shared" ca="1" si="2"/>
        <v>453.08545246995413</v>
      </c>
      <c r="E187" s="82"/>
      <c r="F187" s="214">
        <f t="shared" ca="1" si="3"/>
        <v>416.08545246995413</v>
      </c>
    </row>
    <row r="188" spans="2:6" x14ac:dyDescent="0.2">
      <c r="B188" s="231">
        <f ca="1">IF(Altitude_culmi&gt;350, 90, NA())</f>
        <v>90</v>
      </c>
      <c r="C188" s="5">
        <v>25</v>
      </c>
      <c r="D188" s="82">
        <f t="shared" ca="1" si="2"/>
        <v>458.08545246995413</v>
      </c>
      <c r="E188" s="82"/>
      <c r="F188" s="214">
        <f t="shared" ca="1" si="3"/>
        <v>413.08545246995413</v>
      </c>
    </row>
    <row r="189" spans="2:6" x14ac:dyDescent="0.2">
      <c r="B189" s="231">
        <f ca="1">IF(Altitude_culmi&gt;350, 57, NA())</f>
        <v>57</v>
      </c>
      <c r="C189" s="5">
        <v>30</v>
      </c>
      <c r="D189" s="82">
        <f t="shared" ca="1" si="2"/>
        <v>463.08545246995413</v>
      </c>
      <c r="E189" s="82"/>
      <c r="F189" s="214">
        <f t="shared" ca="1" si="3"/>
        <v>408.08545246995413</v>
      </c>
    </row>
    <row r="190" spans="2:6" x14ac:dyDescent="0.2">
      <c r="B190" s="231">
        <f ca="1">IF(Altitude_culmi&gt;350, 40, NA())</f>
        <v>40</v>
      </c>
      <c r="C190" s="5">
        <v>36</v>
      </c>
      <c r="D190" s="82">
        <f t="shared" ca="1" si="2"/>
        <v>469.08545246995413</v>
      </c>
      <c r="E190" s="82"/>
      <c r="F190" s="214">
        <f t="shared" ca="1" si="3"/>
        <v>403.08545246995413</v>
      </c>
    </row>
    <row r="191" spans="2:6" x14ac:dyDescent="0.2">
      <c r="B191" s="231">
        <f ca="1">IF(Altitude_culmi&gt;350, 20, NA())</f>
        <v>20</v>
      </c>
      <c r="C191" s="5">
        <v>48</v>
      </c>
      <c r="D191" s="82">
        <f t="shared" ca="1" si="2"/>
        <v>481.08545246995413</v>
      </c>
      <c r="E191" s="82"/>
      <c r="F191" s="214">
        <f t="shared" ca="1" si="3"/>
        <v>397.08545246995413</v>
      </c>
    </row>
    <row r="192" spans="2:6" x14ac:dyDescent="0.2">
      <c r="B192" s="231">
        <f ca="1">IF(Altitude_culmi&gt;350, 0.5, NA())</f>
        <v>0.5</v>
      </c>
      <c r="C192" s="5">
        <v>62</v>
      </c>
      <c r="D192" s="82">
        <f t="shared" ca="1" si="2"/>
        <v>495.08545246995413</v>
      </c>
      <c r="E192" s="82"/>
      <c r="F192" s="214">
        <f t="shared" ca="1" si="3"/>
        <v>385.08545246995413</v>
      </c>
    </row>
    <row r="193" spans="2:6" x14ac:dyDescent="0.2">
      <c r="B193" s="231">
        <f ca="1">IF(Altitude_culmi&gt;350, 0.5, NA())</f>
        <v>0.5</v>
      </c>
      <c r="C193" s="5">
        <v>37</v>
      </c>
      <c r="D193" s="82">
        <f t="shared" ca="1" si="2"/>
        <v>470.08545246995413</v>
      </c>
      <c r="E193" s="82"/>
      <c r="F193" s="214">
        <f t="shared" ca="1" si="3"/>
        <v>371.08545246995413</v>
      </c>
    </row>
    <row r="194" spans="2:6" x14ac:dyDescent="0.2">
      <c r="B194" s="231">
        <f ca="1">IF(Altitude_culmi&gt;350, 15, NA())</f>
        <v>15</v>
      </c>
      <c r="C194" s="5">
        <v>30</v>
      </c>
      <c r="D194" s="82">
        <f t="shared" ca="1" si="2"/>
        <v>463.08545246995413</v>
      </c>
      <c r="E194" s="82"/>
      <c r="F194" s="214">
        <f t="shared" ca="1" si="3"/>
        <v>396.08545246995413</v>
      </c>
    </row>
    <row r="195" spans="2:6" x14ac:dyDescent="0.2">
      <c r="B195" s="231">
        <f ca="1">IF(Altitude_culmi&gt;350, 30, NA())</f>
        <v>30</v>
      </c>
      <c r="C195" s="5">
        <v>15</v>
      </c>
      <c r="D195" s="82">
        <f t="shared" ca="1" si="2"/>
        <v>448.08545246995413</v>
      </c>
      <c r="E195" s="82"/>
      <c r="F195" s="214">
        <f t="shared" ca="1" si="3"/>
        <v>403.08545246995413</v>
      </c>
    </row>
    <row r="196" spans="2:6" x14ac:dyDescent="0.2">
      <c r="B196" s="231">
        <f ca="1">IF(Altitude_culmi&gt;350, 37, NA())</f>
        <v>37</v>
      </c>
      <c r="C196" s="5">
        <v>0</v>
      </c>
      <c r="D196" s="82">
        <f t="shared" ca="1" si="2"/>
        <v>433.08545246995413</v>
      </c>
      <c r="E196" s="82"/>
      <c r="F196" s="214">
        <f t="shared" ca="1" si="3"/>
        <v>418.08545246995413</v>
      </c>
    </row>
    <row r="197" spans="2:6" x14ac:dyDescent="0.2">
      <c r="B197" s="231">
        <f ca="1">IF(Altitude_culmi&gt;350, 67, NA())</f>
        <v>67</v>
      </c>
      <c r="C197" s="5">
        <v>0</v>
      </c>
      <c r="D197" s="82">
        <f t="shared" ca="1" si="2"/>
        <v>433.08545246995413</v>
      </c>
      <c r="E197" s="82"/>
      <c r="F197" s="214">
        <f t="shared" ca="1" si="3"/>
        <v>433.08545246995413</v>
      </c>
    </row>
    <row r="198" spans="2:6" x14ac:dyDescent="0.2">
      <c r="B198" s="231">
        <f ca="1">IF(Altitude_culmi&gt;350, 67, NA())</f>
        <v>67</v>
      </c>
      <c r="C198" s="5">
        <v>17</v>
      </c>
      <c r="D198" s="82">
        <f t="shared" ca="1" si="2"/>
        <v>450.08545246995413</v>
      </c>
      <c r="E198" s="82"/>
      <c r="F198" s="214">
        <f t="shared" ca="1" si="3"/>
        <v>433.08545246995413</v>
      </c>
    </row>
    <row r="199" spans="2:6" x14ac:dyDescent="0.2">
      <c r="B199" s="231">
        <f ca="1">IF(Altitude_culmi&gt;350, 100, NA())</f>
        <v>100</v>
      </c>
      <c r="C199" s="5">
        <v>11</v>
      </c>
      <c r="D199" s="82">
        <f t="shared" ca="1" si="2"/>
        <v>444.08545246995413</v>
      </c>
      <c r="E199" s="82"/>
      <c r="F199" s="214">
        <f t="shared" ca="1" si="3"/>
        <v>416.08545246995413</v>
      </c>
    </row>
    <row r="200" spans="2:6" x14ac:dyDescent="0.2">
      <c r="B200" s="229">
        <f ca="1">IF(Altitude_culmi&gt;350, 100, NA())</f>
        <v>100</v>
      </c>
      <c r="C200" s="421">
        <v>0</v>
      </c>
      <c r="D200" s="230">
        <f t="shared" ca="1" si="2"/>
        <v>433.08545246995413</v>
      </c>
      <c r="E200" s="82"/>
      <c r="F200" s="214">
        <f t="shared" ca="1" si="3"/>
        <v>422.08545246995413</v>
      </c>
    </row>
    <row r="201" spans="2:6" x14ac:dyDescent="0.2">
      <c r="E201" s="230"/>
      <c r="F201" s="216">
        <f t="shared" ca="1" si="3"/>
        <v>433.08545246995413</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F51:G51"/>
    <mergeCell ref="F42:G42"/>
    <mergeCell ref="F43:G43"/>
    <mergeCell ref="F44:G44"/>
    <mergeCell ref="F45:G45"/>
    <mergeCell ref="F50:G50"/>
    <mergeCell ref="F46:G46"/>
    <mergeCell ref="F47:G47"/>
    <mergeCell ref="F49:G49"/>
    <mergeCell ref="F48:G48"/>
    <mergeCell ref="C16:D16"/>
    <mergeCell ref="C11:D11"/>
    <mergeCell ref="C20:D20"/>
    <mergeCell ref="C21:D21"/>
    <mergeCell ref="C12:D12"/>
    <mergeCell ref="C14:D14"/>
    <mergeCell ref="C15:D15"/>
    <mergeCell ref="C19:D19"/>
    <mergeCell ref="C23:D23"/>
    <mergeCell ref="C18:D18"/>
    <mergeCell ref="F24:G24"/>
    <mergeCell ref="F28:G28"/>
    <mergeCell ref="F27:G27"/>
    <mergeCell ref="F25:G25"/>
    <mergeCell ref="F26:G26"/>
    <mergeCell ref="H35:I35"/>
    <mergeCell ref="H34:I34"/>
    <mergeCell ref="F29:G29"/>
    <mergeCell ref="H33:I33"/>
    <mergeCell ref="A40:D40"/>
    <mergeCell ref="H36:I36"/>
    <mergeCell ref="F36:G36"/>
    <mergeCell ref="F35:G35"/>
    <mergeCell ref="F34:G34"/>
    <mergeCell ref="F40:G40"/>
    <mergeCell ref="C10:D10"/>
    <mergeCell ref="C5:D5"/>
    <mergeCell ref="C2:D3"/>
    <mergeCell ref="C7:D7"/>
    <mergeCell ref="C8:D8"/>
    <mergeCell ref="C9:D9"/>
    <mergeCell ref="C6:D6"/>
    <mergeCell ref="C4:D4"/>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zoomScale="80" zoomScaleNormal="80" workbookViewId="0">
      <selection activeCell="R15" sqref="R15"/>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Pandora (Pro24-6G BS)</v>
      </c>
      <c r="B2" s="352">
        <f>VLOOKUP(A2,A26:B314,2,FALSE)</f>
        <v>198</v>
      </c>
      <c r="C2" s="363" t="s">
        <v>115</v>
      </c>
      <c r="D2" s="353">
        <f ca="1">INDIRECT(ADDRESS(B2,4))</f>
        <v>142.44</v>
      </c>
      <c r="E2" s="363" t="s">
        <v>114</v>
      </c>
      <c r="F2" s="354">
        <f ca="1">INDIRECT(ADDRESS(B2,6))</f>
        <v>192.06187401906058</v>
      </c>
      <c r="G2" s="363" t="s">
        <v>56</v>
      </c>
      <c r="H2" s="355">
        <f ca="1">INDIRECT(ADDRESS(B2,8))</f>
        <v>0.15989999999999999</v>
      </c>
      <c r="I2" s="363" t="s">
        <v>273</v>
      </c>
      <c r="J2" s="356">
        <f ca="1">INDIRECT(ADDRESS(B2,10))</f>
        <v>7.5599999999999987E-2</v>
      </c>
      <c r="K2" s="363" t="s">
        <v>58</v>
      </c>
      <c r="L2" s="355">
        <f ca="1">INDIRECT(ADDRESS(B2,12))</f>
        <v>8.43E-2</v>
      </c>
      <c r="M2" s="363" t="s">
        <v>57</v>
      </c>
      <c r="N2" s="357">
        <f ca="1">INDIRECT(ADDRESS(B2,14))</f>
        <v>114</v>
      </c>
      <c r="O2" s="363" t="s">
        <v>59</v>
      </c>
      <c r="P2" s="357">
        <f ca="1">INDIRECT(ADDRESS(B2,16))</f>
        <v>114</v>
      </c>
      <c r="Q2" s="363" t="s">
        <v>60</v>
      </c>
      <c r="R2" s="357">
        <f ca="1">INDIRECT(ADDRESS(B2,18))</f>
        <v>228</v>
      </c>
      <c r="S2" s="363" t="s">
        <v>61</v>
      </c>
      <c r="T2" s="357">
        <f ca="1">INDIRECT(ADDRESS(B2,20))</f>
        <v>24</v>
      </c>
      <c r="U2" s="363" t="s">
        <v>54</v>
      </c>
      <c r="V2" s="358" t="str">
        <f ca="1">INDIRECT(ADDRESS(B2,22))</f>
        <v>MiniN</v>
      </c>
      <c r="W2" s="463" t="s">
        <v>394</v>
      </c>
      <c r="X2" s="464">
        <f ca="1">INDIRECT(ADDRESS(B2,24))</f>
        <v>0.97</v>
      </c>
      <c r="Y2" s="463" t="s">
        <v>393</v>
      </c>
      <c r="Z2" s="358">
        <f ca="1">INDIRECT(ADDRESS(B2,26))</f>
        <v>13</v>
      </c>
    </row>
    <row r="3" spans="1:26" x14ac:dyDescent="0.2">
      <c r="A3" s="362" t="str">
        <f>IF(Lang="Français","Temps (en s)","Time (s)")</f>
        <v>Temps (en s)</v>
      </c>
      <c r="B3" s="364">
        <f t="shared" ref="B3:Y3" ca="1" si="0">INDIRECT(ADDRESS($B2+1,COLUMN(B3)))</f>
        <v>0</v>
      </c>
      <c r="C3" s="365">
        <f t="shared" ca="1" si="0"/>
        <v>0.02</v>
      </c>
      <c r="D3" s="365">
        <f t="shared" ca="1" si="0"/>
        <v>0.04</v>
      </c>
      <c r="E3" s="365">
        <f t="shared" ca="1" si="0"/>
        <v>0.62</v>
      </c>
      <c r="F3" s="365">
        <f t="shared" ca="1" si="0"/>
        <v>0.66</v>
      </c>
      <c r="G3" s="365">
        <f t="shared" ca="1" si="0"/>
        <v>0.68</v>
      </c>
      <c r="H3" s="365">
        <f t="shared" ca="1" si="0"/>
        <v>0.8</v>
      </c>
      <c r="I3" s="365">
        <f t="shared" ca="1" si="0"/>
        <v>0.84</v>
      </c>
      <c r="J3" s="365">
        <f t="shared" ca="1" si="0"/>
        <v>0.88</v>
      </c>
      <c r="K3" s="365">
        <f t="shared" ca="1" si="0"/>
        <v>0.92</v>
      </c>
      <c r="L3" s="365">
        <f t="shared" ca="1" si="0"/>
        <v>0.96</v>
      </c>
      <c r="M3" s="365">
        <f t="shared" ca="1" si="0"/>
        <v>1</v>
      </c>
      <c r="N3" s="365">
        <f t="shared" ca="1" si="0"/>
        <v>1.08</v>
      </c>
      <c r="O3" s="365">
        <f t="shared" ca="1" si="0"/>
        <v>2</v>
      </c>
      <c r="P3" s="365">
        <f t="shared" ca="1" si="0"/>
        <v>2</v>
      </c>
      <c r="Q3" s="365">
        <f t="shared" ca="1" si="0"/>
        <v>2</v>
      </c>
      <c r="R3" s="365">
        <f t="shared" ca="1" si="0"/>
        <v>2</v>
      </c>
      <c r="S3" s="365">
        <f t="shared" ca="1" si="0"/>
        <v>2</v>
      </c>
      <c r="T3" s="365">
        <f t="shared" ca="1" si="0"/>
        <v>2</v>
      </c>
      <c r="U3" s="365">
        <f t="shared" ca="1" si="0"/>
        <v>2</v>
      </c>
      <c r="V3" s="365">
        <f t="shared" ca="1" si="0"/>
        <v>2</v>
      </c>
      <c r="W3" s="365">
        <f t="shared" ca="1" si="0"/>
        <v>2</v>
      </c>
      <c r="X3" s="365">
        <f ca="1">INDIRECT(ADDRESS($B2+1,COLUMN(X3)))</f>
        <v>2</v>
      </c>
      <c r="Y3" s="366">
        <f t="shared" ca="1" si="0"/>
        <v>1000</v>
      </c>
    </row>
    <row r="4" spans="1:26" ht="13.5" thickBot="1" x14ac:dyDescent="0.25">
      <c r="A4" s="379" t="str">
        <f>IF(Lang="Français","Poussée (en N)","Thrust (N)")</f>
        <v>Poussée (en N)</v>
      </c>
      <c r="B4" s="367">
        <f t="shared" ref="B4:Y4" ca="1" si="1">INDIRECT(ADDRESS($B2+2,COLUMN(B3)))</f>
        <v>0</v>
      </c>
      <c r="C4" s="368">
        <f t="shared" ca="1" si="1"/>
        <v>250</v>
      </c>
      <c r="D4" s="368">
        <f t="shared" ca="1" si="1"/>
        <v>210</v>
      </c>
      <c r="E4" s="368">
        <f t="shared" ca="1" si="1"/>
        <v>160</v>
      </c>
      <c r="F4" s="368">
        <f t="shared" ca="1" si="1"/>
        <v>150</v>
      </c>
      <c r="G4" s="368">
        <f t="shared" ca="1" si="1"/>
        <v>142</v>
      </c>
      <c r="H4" s="368">
        <f t="shared" ca="1" si="1"/>
        <v>62</v>
      </c>
      <c r="I4" s="368">
        <f t="shared" ca="1" si="1"/>
        <v>48</v>
      </c>
      <c r="J4" s="368">
        <f t="shared" ca="1" si="1"/>
        <v>34</v>
      </c>
      <c r="K4" s="368">
        <f t="shared" ca="1" si="1"/>
        <v>24</v>
      </c>
      <c r="L4" s="368">
        <f t="shared" ca="1" si="1"/>
        <v>15</v>
      </c>
      <c r="M4" s="368">
        <f t="shared" ca="1" si="1"/>
        <v>10</v>
      </c>
      <c r="N4" s="368">
        <f t="shared" ca="1" si="1"/>
        <v>0</v>
      </c>
      <c r="O4" s="368">
        <f t="shared" ca="1" si="1"/>
        <v>0</v>
      </c>
      <c r="P4" s="368">
        <f t="shared" ca="1" si="1"/>
        <v>0</v>
      </c>
      <c r="Q4" s="368">
        <f t="shared" ca="1" si="1"/>
        <v>0</v>
      </c>
      <c r="R4" s="368">
        <f t="shared" ca="1" si="1"/>
        <v>0</v>
      </c>
      <c r="S4" s="368">
        <f t="shared" ca="1" si="1"/>
        <v>0</v>
      </c>
      <c r="T4" s="368">
        <f t="shared" ca="1" si="1"/>
        <v>0</v>
      </c>
      <c r="U4" s="368">
        <f t="shared" ca="1" si="1"/>
        <v>0</v>
      </c>
      <c r="V4" s="368">
        <f t="shared" ca="1" si="1"/>
        <v>0</v>
      </c>
      <c r="W4" s="368">
        <f t="shared" ca="1" si="1"/>
        <v>0</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541</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539</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540</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544</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536</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545</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548</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538</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537</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549</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552</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550</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556</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551</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40" t="s">
        <v>276</v>
      </c>
      <c r="D316" s="641"/>
      <c r="F316" s="640" t="s">
        <v>181</v>
      </c>
      <c r="G316" s="641"/>
      <c r="H316" s="12"/>
      <c r="I316" s="640" t="s">
        <v>397</v>
      </c>
      <c r="J316" s="641"/>
      <c r="K316" s="12"/>
      <c r="L316" s="640" t="s">
        <v>182</v>
      </c>
      <c r="M316" s="641"/>
      <c r="O316" s="640" t="s">
        <v>396</v>
      </c>
      <c r="P316" s="641"/>
      <c r="R316" s="640" t="s">
        <v>118</v>
      </c>
      <c r="S316" s="641"/>
    </row>
    <row r="317" spans="1:25" x14ac:dyDescent="0.2">
      <c r="A317" s="398" t="str">
        <f t="array" ref="A317:A346">IF(RIGHT(Type_fusee,1)=".",Liste_fusex, IF(LEFT(Type_fusee,4)="Mini",Liste_minif, IF(LEFT(Type_fusee,5)="Micro",Liste_µfu, IF(RIGHT(Type_fusee,1)=" ",Liste_H2O, IF(LEFT(Type_fusee,1)="R",Liste_RC, IF(LEFT(Type_fusee,1)=",",Liste_minifT))))))</f>
        <v>p24-1G 24E22</v>
      </c>
      <c r="C317" s="642" t="str">
        <f>A26</f>
        <v>H2O 1.5L 300g 6bar</v>
      </c>
      <c r="D317" s="643"/>
      <c r="F317" s="642" t="str">
        <f>A67</f>
        <v>µ-propu A8-3</v>
      </c>
      <c r="G317" s="643"/>
      <c r="H317" s="472"/>
      <c r="I317" s="644" t="str">
        <f>A148</f>
        <v>p29-1G 56F31</v>
      </c>
      <c r="J317" s="645"/>
      <c r="K317" s="472"/>
      <c r="L317" s="644" t="str">
        <f>A158</f>
        <v>p29-1G 57F59</v>
      </c>
      <c r="M317" s="645"/>
      <c r="O317" s="642" t="str">
        <f>A108</f>
        <v>p24-1G 24E22</v>
      </c>
      <c r="P317" s="643"/>
      <c r="R317" s="642" t="str">
        <f>A284</f>
        <v>Pro54-5G WT</v>
      </c>
      <c r="S317" s="643"/>
    </row>
    <row r="318" spans="1:25" x14ac:dyDescent="0.2">
      <c r="A318" s="398" t="str">
        <v>p24-1G 25E75 (Rufina)</v>
      </c>
      <c r="C318" s="642" t="str">
        <f>A31</f>
        <v>H2O 1.5L 450g 6bar</v>
      </c>
      <c r="D318" s="643"/>
      <c r="F318" s="642" t="str">
        <f>A72</f>
        <v>µ-propu B4-4</v>
      </c>
      <c r="G318" s="643"/>
      <c r="H318" s="472"/>
      <c r="I318" s="644" t="str">
        <f>A153</f>
        <v>p29-1G 56F120</v>
      </c>
      <c r="J318" s="645"/>
      <c r="K318" s="472"/>
      <c r="L318" s="644" t="str">
        <f>A183</f>
        <v>p24-3G 74F85</v>
      </c>
      <c r="M318" s="645"/>
      <c r="O318" s="642" t="str">
        <f>A113</f>
        <v>p24-1G 25E75 (Rufina)</v>
      </c>
      <c r="P318" s="643"/>
      <c r="R318" s="642" t="str">
        <f>A279</f>
        <v>Barasinga (Pro54-5G C)</v>
      </c>
      <c r="S318" s="643"/>
    </row>
    <row r="319" spans="1:25" x14ac:dyDescent="0.2">
      <c r="A319" s="398" t="str">
        <v>p24-1G 26E31</v>
      </c>
      <c r="C319" s="642" t="str">
        <f>A36</f>
        <v>H2O 1.5L 600g 6bar</v>
      </c>
      <c r="D319" s="643"/>
      <c r="F319" s="642" t="str">
        <f>A77</f>
        <v>µ-propu C6-3</v>
      </c>
      <c r="G319" s="643"/>
      <c r="H319" s="472"/>
      <c r="I319" s="644" t="str">
        <f>A158</f>
        <v>p29-1G 57F59</v>
      </c>
      <c r="J319" s="645"/>
      <c r="K319" s="472"/>
      <c r="L319" s="644" t="str">
        <f>A188</f>
        <v>p24-3G 75F51</v>
      </c>
      <c r="M319" s="645"/>
      <c r="O319" s="642" t="str">
        <f>A118</f>
        <v>p24-1G 26E31</v>
      </c>
      <c r="P319" s="643"/>
      <c r="R319" s="642" t="str">
        <f>A289</f>
        <v>Orignal (Pro75-3G C)</v>
      </c>
      <c r="S319" s="643"/>
    </row>
    <row r="320" spans="1:25" x14ac:dyDescent="0.2">
      <c r="A320" s="398" t="str">
        <v>p24-2G 50E51</v>
      </c>
      <c r="C320" s="642" t="str">
        <f>A41</f>
        <v>H2O 1.5L 750g 6bar</v>
      </c>
      <c r="D320" s="643"/>
      <c r="F320" s="642" t="str">
        <f>A82</f>
        <v>µ-propu C6-3 x2</v>
      </c>
      <c r="G320" s="643"/>
      <c r="H320" s="472"/>
      <c r="I320" s="644" t="str">
        <f>A183</f>
        <v>p24-3G 74F85</v>
      </c>
      <c r="J320" s="645"/>
      <c r="K320" s="472"/>
      <c r="L320" s="644" t="str">
        <f>A228</f>
        <v>p29-2G 116G126</v>
      </c>
      <c r="M320" s="645"/>
      <c r="O320" s="642" t="str">
        <f>A123</f>
        <v>p24-2G 50E51</v>
      </c>
      <c r="P320" s="643"/>
      <c r="R320" s="642" t="str">
        <f>A294</f>
        <v>Pro98-6G Green</v>
      </c>
      <c r="S320" s="643"/>
    </row>
    <row r="321" spans="1:19" x14ac:dyDescent="0.2">
      <c r="A321" s="398" t="str">
        <v>p24-1G 53E70</v>
      </c>
      <c r="C321" s="642" t="str">
        <f>A46</f>
        <v>H2O 2.0L 400g 6bar</v>
      </c>
      <c r="D321" s="643"/>
      <c r="F321" s="642" t="str">
        <f>A87</f>
        <v>µ-propu C6-3 x3</v>
      </c>
      <c r="G321" s="643"/>
      <c r="H321" s="472"/>
      <c r="I321" s="644" t="str">
        <f>A188</f>
        <v>p24-3G 75F51</v>
      </c>
      <c r="J321" s="645"/>
      <c r="K321" s="472"/>
      <c r="L321" s="644" t="str">
        <f>A198</f>
        <v>Pandora (Pro24-6G BS)</v>
      </c>
      <c r="M321" s="645"/>
      <c r="O321" s="642" t="str">
        <f>A128</f>
        <v>p24-1G 53E70</v>
      </c>
      <c r="P321" s="643"/>
      <c r="R321" s="642" t="s">
        <v>183</v>
      </c>
      <c r="S321" s="643"/>
    </row>
    <row r="322" spans="1:19" x14ac:dyDescent="0.2">
      <c r="A322" s="398" t="str">
        <v>p29-1G 41F36</v>
      </c>
      <c r="C322" s="642" t="str">
        <f>A51</f>
        <v>H2O 2.0L 600g 6bar</v>
      </c>
      <c r="D322" s="643"/>
      <c r="F322" s="642" t="s">
        <v>183</v>
      </c>
      <c r="G322" s="643"/>
      <c r="H322" s="472"/>
      <c r="I322" s="644" t="s">
        <v>183</v>
      </c>
      <c r="J322" s="645"/>
      <c r="K322" s="472"/>
      <c r="L322" s="642" t="str">
        <f>A92</f>
        <v>Klima D9-7</v>
      </c>
      <c r="M322" s="643"/>
      <c r="O322" s="642" t="str">
        <f>A133</f>
        <v>p29-1G 41F36</v>
      </c>
      <c r="P322" s="643"/>
      <c r="R322" s="642" t="s">
        <v>183</v>
      </c>
      <c r="S322" s="643"/>
    </row>
    <row r="323" spans="1:19" x14ac:dyDescent="0.2">
      <c r="A323" s="398" t="str">
        <v>p29-1G 51F36</v>
      </c>
      <c r="C323" s="642" t="str">
        <f>A56</f>
        <v>H2O 2.0L 800g 6bar</v>
      </c>
      <c r="D323" s="643"/>
      <c r="F323" s="642" t="s">
        <v>183</v>
      </c>
      <c r="G323" s="643"/>
      <c r="H323" s="472"/>
      <c r="I323" s="644" t="s">
        <v>183</v>
      </c>
      <c r="J323" s="645"/>
      <c r="K323" s="472"/>
      <c r="L323" s="642" t="str">
        <f>A97</f>
        <v>Klima D9-7 x2</v>
      </c>
      <c r="M323" s="643"/>
      <c r="O323" s="642" t="str">
        <f>A138</f>
        <v>p29-1G 51F36</v>
      </c>
      <c r="P323" s="643"/>
      <c r="R323" s="642" t="s">
        <v>183</v>
      </c>
      <c r="S323" s="643"/>
    </row>
    <row r="324" spans="1:19" x14ac:dyDescent="0.2">
      <c r="A324" s="398" t="str">
        <v>p29-1G 55F29</v>
      </c>
      <c r="C324" s="642" t="str">
        <f>A61</f>
        <v>H2O 2.0L 1000g 6bar</v>
      </c>
      <c r="D324" s="643"/>
      <c r="F324" s="642" t="s">
        <v>183</v>
      </c>
      <c r="G324" s="643"/>
      <c r="H324" s="472"/>
      <c r="I324" s="644" t="s">
        <v>183</v>
      </c>
      <c r="J324" s="645"/>
      <c r="K324" s="472"/>
      <c r="L324" s="642" t="str">
        <f>A102</f>
        <v>Klima D9-7 x3</v>
      </c>
      <c r="M324" s="643"/>
      <c r="O324" s="642" t="str">
        <f>A143</f>
        <v>p29-1G 55F29</v>
      </c>
      <c r="P324" s="643"/>
      <c r="R324" s="642" t="s">
        <v>183</v>
      </c>
      <c r="S324" s="643"/>
    </row>
    <row r="325" spans="1:19" x14ac:dyDescent="0.2">
      <c r="A325" s="398" t="str">
        <v>p29-1G 56F120</v>
      </c>
      <c r="C325" s="642" t="s">
        <v>183</v>
      </c>
      <c r="D325" s="643"/>
      <c r="F325" s="642" t="s">
        <v>183</v>
      </c>
      <c r="G325" s="643"/>
      <c r="H325" s="472"/>
      <c r="I325" s="644" t="s">
        <v>183</v>
      </c>
      <c r="J325" s="645"/>
      <c r="K325" s="472"/>
      <c r="L325" s="642" t="s">
        <v>183</v>
      </c>
      <c r="M325" s="643"/>
      <c r="O325" s="642" t="str">
        <f>A153</f>
        <v>p29-1G 56F120</v>
      </c>
      <c r="P325" s="643"/>
      <c r="R325" s="642" t="s">
        <v>183</v>
      </c>
      <c r="S325" s="643"/>
    </row>
    <row r="326" spans="1:19" x14ac:dyDescent="0.2">
      <c r="A326" s="398" t="str">
        <v>p29-1G 57F59</v>
      </c>
      <c r="C326" s="642" t="s">
        <v>183</v>
      </c>
      <c r="D326" s="643"/>
      <c r="F326" s="642" t="s">
        <v>183</v>
      </c>
      <c r="G326" s="643"/>
      <c r="H326" s="472"/>
      <c r="I326" s="644" t="s">
        <v>183</v>
      </c>
      <c r="J326" s="645"/>
      <c r="K326" s="472"/>
      <c r="L326" s="642" t="s">
        <v>183</v>
      </c>
      <c r="M326" s="643"/>
      <c r="O326" s="642" t="str">
        <f>A158</f>
        <v>p29-1G 57F59</v>
      </c>
      <c r="P326" s="643"/>
      <c r="R326" s="642" t="s">
        <v>183</v>
      </c>
      <c r="S326" s="643"/>
    </row>
    <row r="327" spans="1:19" x14ac:dyDescent="0.2">
      <c r="A327" s="398" t="str">
        <v>p24-3G 60F50</v>
      </c>
      <c r="C327" s="642" t="s">
        <v>183</v>
      </c>
      <c r="D327" s="643"/>
      <c r="F327" s="642" t="s">
        <v>183</v>
      </c>
      <c r="G327" s="643"/>
      <c r="H327" s="472"/>
      <c r="I327" s="644" t="s">
        <v>183</v>
      </c>
      <c r="J327" s="645"/>
      <c r="K327" s="472"/>
      <c r="L327" s="642" t="s">
        <v>183</v>
      </c>
      <c r="M327" s="643"/>
      <c r="O327" s="642" t="str">
        <f>A163</f>
        <v>p24-3G 60F50</v>
      </c>
      <c r="P327" s="643"/>
      <c r="R327" s="642" t="s">
        <v>183</v>
      </c>
      <c r="S327" s="643"/>
    </row>
    <row r="328" spans="1:19" x14ac:dyDescent="0.2">
      <c r="A328" s="398" t="str">
        <v>p24-3G 68F79</v>
      </c>
      <c r="C328" s="642" t="s">
        <v>183</v>
      </c>
      <c r="D328" s="643"/>
      <c r="F328" s="642" t="s">
        <v>183</v>
      </c>
      <c r="G328" s="643"/>
      <c r="H328" s="472"/>
      <c r="I328" s="644" t="s">
        <v>183</v>
      </c>
      <c r="J328" s="645"/>
      <c r="K328" s="472"/>
      <c r="L328" s="642" t="s">
        <v>183</v>
      </c>
      <c r="M328" s="643"/>
      <c r="O328" s="642" t="str">
        <f>A168</f>
        <v>p24-3G 68F79</v>
      </c>
      <c r="P328" s="643"/>
      <c r="R328" s="642" t="s">
        <v>183</v>
      </c>
      <c r="S328" s="643"/>
    </row>
    <row r="329" spans="1:19" x14ac:dyDescent="0.2">
      <c r="A329" s="398" t="str">
        <v>p24-3G 68F240</v>
      </c>
      <c r="C329" s="642" t="s">
        <v>183</v>
      </c>
      <c r="D329" s="643"/>
      <c r="F329" s="642" t="s">
        <v>183</v>
      </c>
      <c r="G329" s="643"/>
      <c r="H329" s="472"/>
      <c r="I329" s="644" t="s">
        <v>183</v>
      </c>
      <c r="J329" s="645"/>
      <c r="K329" s="472"/>
      <c r="L329" s="642" t="s">
        <v>183</v>
      </c>
      <c r="M329" s="643"/>
      <c r="O329" s="642" t="str">
        <f>A173</f>
        <v>p24-3G 68F240</v>
      </c>
      <c r="P329" s="643"/>
      <c r="R329" s="642" t="s">
        <v>183</v>
      </c>
      <c r="S329" s="643"/>
    </row>
    <row r="330" spans="1:19" x14ac:dyDescent="0.2">
      <c r="A330" s="398" t="str">
        <v>p24-3G 73F30</v>
      </c>
      <c r="C330" s="642" t="s">
        <v>183</v>
      </c>
      <c r="D330" s="643"/>
      <c r="F330" s="642" t="s">
        <v>183</v>
      </c>
      <c r="G330" s="643"/>
      <c r="H330" s="472"/>
      <c r="I330" s="644" t="s">
        <v>183</v>
      </c>
      <c r="J330" s="645"/>
      <c r="K330" s="472"/>
      <c r="L330" s="642" t="s">
        <v>183</v>
      </c>
      <c r="M330" s="643"/>
      <c r="O330" s="642" t="str">
        <f>A178</f>
        <v>p24-3G 73F30</v>
      </c>
      <c r="P330" s="643"/>
      <c r="R330" s="642" t="s">
        <v>183</v>
      </c>
      <c r="S330" s="643"/>
    </row>
    <row r="331" spans="1:19" x14ac:dyDescent="0.2">
      <c r="A331" s="398" t="str">
        <v>p24-3G 74F85</v>
      </c>
      <c r="C331" s="642" t="s">
        <v>183</v>
      </c>
      <c r="D331" s="643"/>
      <c r="F331" s="642" t="s">
        <v>183</v>
      </c>
      <c r="G331" s="643"/>
      <c r="H331" s="472"/>
      <c r="I331" s="648" t="s">
        <v>183</v>
      </c>
      <c r="J331" s="649"/>
      <c r="K331" s="472"/>
      <c r="L331" s="642" t="s">
        <v>183</v>
      </c>
      <c r="M331" s="643"/>
      <c r="O331" s="642" t="str">
        <f>A183</f>
        <v>p24-3G 74F85</v>
      </c>
      <c r="P331" s="643"/>
      <c r="R331" s="642" t="s">
        <v>183</v>
      </c>
      <c r="S331" s="643"/>
    </row>
    <row r="332" spans="1:19" x14ac:dyDescent="0.2">
      <c r="A332" s="462" t="str">
        <v>p24-3G 75F51</v>
      </c>
      <c r="C332" s="646" t="s">
        <v>183</v>
      </c>
      <c r="D332" s="647"/>
      <c r="F332" s="646" t="s">
        <v>183</v>
      </c>
      <c r="G332" s="647"/>
      <c r="H332" s="472"/>
      <c r="I332" s="646" t="s">
        <v>183</v>
      </c>
      <c r="J332" s="647"/>
      <c r="K332" s="472"/>
      <c r="L332" s="646" t="s">
        <v>183</v>
      </c>
      <c r="M332" s="647"/>
      <c r="O332" s="642" t="str">
        <f>A188</f>
        <v>p24-3G 75F51</v>
      </c>
      <c r="P332" s="643"/>
      <c r="R332" s="646" t="s">
        <v>183</v>
      </c>
      <c r="S332" s="647"/>
    </row>
    <row r="333" spans="1:19" x14ac:dyDescent="0.2">
      <c r="A333" s="398" t="str">
        <v>p29-2G 84G88</v>
      </c>
      <c r="C333" s="637" t="s">
        <v>183</v>
      </c>
      <c r="D333" s="637"/>
      <c r="F333" s="637" t="s">
        <v>183</v>
      </c>
      <c r="G333" s="637"/>
      <c r="I333" s="639" t="s">
        <v>183</v>
      </c>
      <c r="J333" s="639"/>
      <c r="L333" s="639" t="s">
        <v>183</v>
      </c>
      <c r="M333" s="639"/>
      <c r="O333" s="642" t="str">
        <f>A213</f>
        <v>p29-2G 84G88</v>
      </c>
      <c r="P333" s="643"/>
      <c r="R333" s="651" t="s">
        <v>183</v>
      </c>
      <c r="S333" s="651"/>
    </row>
    <row r="334" spans="1:19" x14ac:dyDescent="0.2">
      <c r="A334" s="398" t="str">
        <v>p29-2G 93G80</v>
      </c>
      <c r="C334" s="638" t="s">
        <v>183</v>
      </c>
      <c r="D334" s="638"/>
      <c r="F334" s="638" t="s">
        <v>183</v>
      </c>
      <c r="G334" s="638"/>
      <c r="I334" s="639" t="s">
        <v>183</v>
      </c>
      <c r="J334" s="639"/>
      <c r="L334" s="639" t="s">
        <v>183</v>
      </c>
      <c r="M334" s="639"/>
      <c r="O334" s="642" t="str">
        <f>A218</f>
        <v>p29-2G 93G80</v>
      </c>
      <c r="P334" s="643"/>
      <c r="R334" s="650" t="str">
        <f>A269</f>
        <v>Isard</v>
      </c>
      <c r="S334" s="650"/>
    </row>
    <row r="335" spans="1:19" x14ac:dyDescent="0.2">
      <c r="A335" s="398" t="str">
        <v>p29-2G 110G250</v>
      </c>
      <c r="C335" s="638" t="s">
        <v>183</v>
      </c>
      <c r="D335" s="638"/>
      <c r="F335" s="638" t="s">
        <v>183</v>
      </c>
      <c r="G335" s="638"/>
      <c r="I335" s="639" t="s">
        <v>183</v>
      </c>
      <c r="J335" s="639"/>
      <c r="L335" s="639" t="s">
        <v>183</v>
      </c>
      <c r="M335" s="639"/>
      <c r="O335" s="642" t="str">
        <f>A223</f>
        <v>p29-2G 110G250</v>
      </c>
      <c r="P335" s="643"/>
      <c r="R335" s="650" t="str">
        <f>A274</f>
        <v>Chamois</v>
      </c>
      <c r="S335" s="650"/>
    </row>
    <row r="336" spans="1:19" x14ac:dyDescent="0.2">
      <c r="A336" s="398" t="str">
        <v>p29-2G 116G126</v>
      </c>
      <c r="C336" s="638" t="s">
        <v>183</v>
      </c>
      <c r="D336" s="638"/>
      <c r="F336" s="638" t="s">
        <v>183</v>
      </c>
      <c r="G336" s="638"/>
      <c r="I336" s="639" t="s">
        <v>183</v>
      </c>
      <c r="J336" s="639"/>
      <c r="L336" s="639" t="s">
        <v>183</v>
      </c>
      <c r="M336" s="639"/>
      <c r="O336" s="642" t="str">
        <f>A228</f>
        <v>p29-2G 116G126</v>
      </c>
      <c r="P336" s="643"/>
      <c r="R336" s="650" t="str">
        <f>A284</f>
        <v>Pro54-5G WT</v>
      </c>
      <c r="S336" s="650"/>
    </row>
    <row r="337" spans="1:19" x14ac:dyDescent="0.2">
      <c r="A337" s="398" t="str">
        <v>p29-3G 125G131</v>
      </c>
      <c r="C337" s="638" t="s">
        <v>183</v>
      </c>
      <c r="D337" s="638"/>
      <c r="F337" s="638" t="s">
        <v>183</v>
      </c>
      <c r="G337" s="638"/>
      <c r="I337" s="639" t="s">
        <v>183</v>
      </c>
      <c r="J337" s="639"/>
      <c r="L337" s="639" t="s">
        <v>183</v>
      </c>
      <c r="M337" s="639"/>
      <c r="O337" s="642" t="str">
        <f>A233</f>
        <v>p29-3G 125G131</v>
      </c>
      <c r="P337" s="643"/>
      <c r="R337" s="650" t="str">
        <f>A294</f>
        <v>Pro98-6G Green</v>
      </c>
      <c r="S337" s="650"/>
    </row>
    <row r="338" spans="1:19" x14ac:dyDescent="0.2">
      <c r="A338" s="398" t="str">
        <v>p38-1G 128G185</v>
      </c>
      <c r="C338" s="638" t="s">
        <v>183</v>
      </c>
      <c r="D338" s="638"/>
      <c r="F338" s="638" t="s">
        <v>183</v>
      </c>
      <c r="G338" s="638"/>
      <c r="I338" s="639" t="s">
        <v>183</v>
      </c>
      <c r="J338" s="639"/>
      <c r="L338" s="639" t="s">
        <v>183</v>
      </c>
      <c r="M338" s="639"/>
      <c r="O338" s="642" t="str">
        <f>A248</f>
        <v>p38-1G 128G185</v>
      </c>
      <c r="P338" s="643"/>
      <c r="R338" s="650" t="str">
        <f>A299</f>
        <v>Pro98-3G WT</v>
      </c>
      <c r="S338" s="650"/>
    </row>
    <row r="339" spans="1:19" x14ac:dyDescent="0.2">
      <c r="A339" s="398" t="str">
        <v>p38-1G 137G58</v>
      </c>
      <c r="C339" s="638" t="s">
        <v>183</v>
      </c>
      <c r="D339" s="638"/>
      <c r="F339" s="638" t="s">
        <v>183</v>
      </c>
      <c r="G339" s="638"/>
      <c r="I339" s="639" t="s">
        <v>183</v>
      </c>
      <c r="J339" s="639"/>
      <c r="L339" s="639" t="s">
        <v>183</v>
      </c>
      <c r="M339" s="639"/>
      <c r="O339" s="642" t="str">
        <f>A243</f>
        <v>p38-1G 137G58</v>
      </c>
      <c r="P339" s="643"/>
      <c r="R339" s="650" t="str">
        <f>A309</f>
        <v>Aucun (2e ét. inerte)</v>
      </c>
      <c r="S339" s="650"/>
    </row>
    <row r="340" spans="1:19" x14ac:dyDescent="0.2">
      <c r="A340" s="398" t="str">
        <v>p38-1G 141G78</v>
      </c>
      <c r="C340" s="638" t="s">
        <v>183</v>
      </c>
      <c r="D340" s="638"/>
      <c r="F340" s="638" t="s">
        <v>183</v>
      </c>
      <c r="G340" s="638"/>
      <c r="I340" s="639" t="s">
        <v>183</v>
      </c>
      <c r="J340" s="639"/>
      <c r="L340" s="639" t="s">
        <v>183</v>
      </c>
      <c r="M340" s="639"/>
      <c r="O340" s="642" t="str">
        <f>A253</f>
        <v>p38-1G 141G78</v>
      </c>
      <c r="P340" s="643"/>
      <c r="R340" s="639" t="s">
        <v>183</v>
      </c>
      <c r="S340" s="639"/>
    </row>
    <row r="341" spans="1:19" x14ac:dyDescent="0.2">
      <c r="A341" s="398" t="str">
        <v>p24-6G 140G145 PK</v>
      </c>
      <c r="C341" s="638" t="s">
        <v>183</v>
      </c>
      <c r="D341" s="638"/>
      <c r="F341" s="638" t="s">
        <v>183</v>
      </c>
      <c r="G341" s="638"/>
      <c r="I341" s="638" t="s">
        <v>183</v>
      </c>
      <c r="J341" s="638"/>
      <c r="L341" s="639" t="s">
        <v>183</v>
      </c>
      <c r="M341" s="639"/>
      <c r="O341" s="642" t="str">
        <f>A193</f>
        <v>p24-6G 140G145 PK</v>
      </c>
      <c r="P341" s="643"/>
      <c r="R341" s="638" t="s">
        <v>183</v>
      </c>
      <c r="S341" s="638"/>
    </row>
    <row r="342" spans="1:19" x14ac:dyDescent="0.2">
      <c r="A342" s="398" t="str">
        <v>Pandora (Pro24-6G BS)</v>
      </c>
      <c r="C342" s="638" t="s">
        <v>183</v>
      </c>
      <c r="D342" s="638"/>
      <c r="F342" s="638" t="s">
        <v>183</v>
      </c>
      <c r="G342" s="638"/>
      <c r="I342" s="638" t="s">
        <v>183</v>
      </c>
      <c r="J342" s="638"/>
      <c r="L342" s="639" t="s">
        <v>183</v>
      </c>
      <c r="M342" s="639"/>
      <c r="O342" s="642" t="str">
        <f>A198</f>
        <v>Pandora (Pro24-6G BS)</v>
      </c>
      <c r="P342" s="643"/>
      <c r="R342" s="638" t="s">
        <v>183</v>
      </c>
      <c r="S342" s="638"/>
    </row>
    <row r="343" spans="1:19" x14ac:dyDescent="0.2">
      <c r="A343" s="398" t="str">
        <v>p24-6G 142G117 WT</v>
      </c>
      <c r="C343" s="638" t="s">
        <v>183</v>
      </c>
      <c r="D343" s="638"/>
      <c r="F343" s="638" t="s">
        <v>183</v>
      </c>
      <c r="G343" s="638"/>
      <c r="I343" s="638" t="s">
        <v>183</v>
      </c>
      <c r="J343" s="638"/>
      <c r="L343" s="638" t="s">
        <v>183</v>
      </c>
      <c r="M343" s="638"/>
      <c r="O343" s="644" t="str">
        <f>A203</f>
        <v>p24-6G 142G117 WT</v>
      </c>
      <c r="P343" s="645"/>
      <c r="R343" s="638" t="s">
        <v>183</v>
      </c>
      <c r="S343" s="638"/>
    </row>
    <row r="344" spans="1:19" x14ac:dyDescent="0.2">
      <c r="A344" s="398" t="str">
        <v>p24-6G 139G107 DT</v>
      </c>
      <c r="C344" s="638" t="s">
        <v>183</v>
      </c>
      <c r="D344" s="638"/>
      <c r="F344" s="638" t="s">
        <v>183</v>
      </c>
      <c r="G344" s="638"/>
      <c r="I344" s="638" t="s">
        <v>183</v>
      </c>
      <c r="J344" s="638"/>
      <c r="L344" s="638" t="s">
        <v>183</v>
      </c>
      <c r="M344" s="638"/>
      <c r="O344" s="644" t="str">
        <f>A208</f>
        <v>p24-6G 139G107 DT</v>
      </c>
      <c r="P344" s="645"/>
      <c r="R344" s="638" t="s">
        <v>183</v>
      </c>
      <c r="S344" s="638"/>
    </row>
    <row r="345" spans="1:19" x14ac:dyDescent="0.2">
      <c r="A345" s="398" t="str">
        <v>Cariacou</v>
      </c>
      <c r="C345" s="638" t="s">
        <v>183</v>
      </c>
      <c r="D345" s="638"/>
      <c r="F345" s="638" t="s">
        <v>183</v>
      </c>
      <c r="G345" s="638"/>
      <c r="I345" s="638" t="s">
        <v>183</v>
      </c>
      <c r="J345" s="638"/>
      <c r="L345" s="638" t="s">
        <v>183</v>
      </c>
      <c r="M345" s="638"/>
      <c r="O345" s="644" t="str">
        <f>A263</f>
        <v>Cariacou</v>
      </c>
      <c r="P345" s="645"/>
      <c r="R345" s="638" t="s">
        <v>183</v>
      </c>
      <c r="S345" s="638"/>
    </row>
    <row r="346" spans="1:19" x14ac:dyDescent="0.2">
      <c r="A346" s="473" t="str">
        <v>Wapiti</v>
      </c>
      <c r="C346" s="638" t="s">
        <v>183</v>
      </c>
      <c r="D346" s="638"/>
      <c r="F346" s="638" t="s">
        <v>183</v>
      </c>
      <c r="G346" s="638"/>
      <c r="I346" s="638" t="s">
        <v>183</v>
      </c>
      <c r="J346" s="638"/>
      <c r="L346" s="638" t="s">
        <v>183</v>
      </c>
      <c r="M346" s="638"/>
      <c r="O346" s="652" t="str">
        <f>A258</f>
        <v>Wapiti</v>
      </c>
      <c r="P346" s="653"/>
      <c r="R346" s="638" t="s">
        <v>183</v>
      </c>
      <c r="S346" s="638"/>
    </row>
  </sheetData>
  <dataConsolidate/>
  <mergeCells count="186">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C345:D345"/>
    <mergeCell ref="C346:D346"/>
    <mergeCell ref="C335:D335"/>
    <mergeCell ref="C336:D336"/>
    <mergeCell ref="C337:D337"/>
    <mergeCell ref="C338:D338"/>
    <mergeCell ref="C339:D339"/>
    <mergeCell ref="C340:D340"/>
    <mergeCell ref="C334:D334"/>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K2" sqref="K1:K1048576"/>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3.2</v>
      </c>
      <c r="D4" s="292" t="s">
        <v>14</v>
      </c>
      <c r="E4" s="293" t="s">
        <v>14</v>
      </c>
      <c r="F4" s="294" t="s">
        <v>14</v>
      </c>
      <c r="G4" s="292">
        <f>vit_xz*COS(Beta)</f>
        <v>37.417891998770763</v>
      </c>
      <c r="H4" s="293">
        <f>vit_xz*SIN(Beta)</f>
        <v>172.70387046431256</v>
      </c>
      <c r="I4" s="349">
        <f>V_ini</f>
        <v>176.71085285003218</v>
      </c>
      <c r="J4" s="350">
        <f>X_ini</f>
        <v>100.55190764607381</v>
      </c>
      <c r="K4" s="351">
        <f>Z_ini</f>
        <v>497.16938386972515</v>
      </c>
      <c r="L4" s="327">
        <f t="shared" ref="L4:L67" si="0">SQRT(pos_x^2+pos_z^2)</f>
        <v>507.23572664853435</v>
      </c>
      <c r="M4" s="292">
        <f>RADIANS(N4)</f>
        <v>1.3574347634966677</v>
      </c>
      <c r="N4" s="349">
        <f>Beta_rampe</f>
        <v>77.775282912698117</v>
      </c>
      <c r="P4" s="292" t="s">
        <v>14</v>
      </c>
      <c r="Q4" s="294" t="s">
        <v>14</v>
      </c>
      <c r="R4" s="292" t="s">
        <v>14</v>
      </c>
      <c r="S4" s="351">
        <f ca="1">m_tot</f>
        <v>2.7549000000000001</v>
      </c>
      <c r="T4" s="327">
        <f t="shared" ref="T4:T67" ca="1" si="1">m*g</f>
        <v>27.025569000000001</v>
      </c>
      <c r="U4" s="328">
        <f t="shared" ref="U4:U67" si="2">IF(pos_xz&lt;L_rampe,Poids*COS(Beta),0)</f>
        <v>0</v>
      </c>
      <c r="V4" s="329">
        <f t="shared" ref="V4:V67" si="3">Rho_moyen*(20000-Alt_rampe-pos_z)/(20000+Alt_rampe+pos_z)</f>
        <v>1.1655739901120501</v>
      </c>
      <c r="W4" s="327">
        <f t="shared" ref="W4:W67" si="4">1/2*Rho*Sref*Cx*vit_xz^2</f>
        <v>74.531380034578646</v>
      </c>
      <c r="Y4" s="295" t="s">
        <v>14</v>
      </c>
      <c r="Z4" s="296" t="s">
        <v>14</v>
      </c>
      <c r="AA4" s="297" t="s">
        <v>14</v>
      </c>
      <c r="AC4" s="320">
        <f>IF(ABS(t-ROUND(t,0))&lt;0.001,t,-1)</f>
        <v>-1</v>
      </c>
      <c r="AD4" s="321">
        <f>IF(ABS(t-ROUND(t,0))&lt;0.001,pos_x,-1)</f>
        <v>-1</v>
      </c>
      <c r="AE4" s="322">
        <f t="shared" ref="AE4:AE67" si="5">IF(t&lt;T_para, pos_z, NA())</f>
        <v>497.16938386972515</v>
      </c>
      <c r="AG4" s="292" t="s">
        <v>14</v>
      </c>
      <c r="AH4" s="294" t="s">
        <v>14</v>
      </c>
    </row>
    <row r="5" spans="1:248" x14ac:dyDescent="0.2">
      <c r="A5" s="347">
        <f t="shared" ref="A5:A68" ca="1" si="6">IF(B4+0.01&lt;=T_ini+ROUNDUP(Temps_fin_propu,0), 0.01, IF(K4&gt;0, 0.1, 0.0001))</f>
        <v>0.01</v>
      </c>
      <c r="B5" s="304">
        <f t="shared" ref="B5:B68" ca="1" si="7">B4+pas</f>
        <v>3.21</v>
      </c>
      <c r="D5" s="306">
        <f t="shared" ref="D5:D68" ca="1" si="8">IF(AND(L4&lt;L_rampe,Poussee&lt;Poids*SIN(M4)),0,(-W4+Poussee)/m*COS(M4)-U4/m*SIN(M4))</f>
        <v>-0.92486425969199082</v>
      </c>
      <c r="E5" s="307">
        <f t="shared" ref="E5:E68" ca="1" si="9">IF(AND(L4&lt;L_rampe,Poussee&lt;Poids*SIN(M4)),0,(-W4+Poussee)/m*SIN(M4)+U4/m*COS(M4)-Poids/m)</f>
        <v>-14.07875028951832</v>
      </c>
      <c r="F5" s="304">
        <f t="shared" ref="F5:F68" ca="1" si="10">SQRT(acc_x^2+acc_z^2)</f>
        <v>14.109095775898178</v>
      </c>
      <c r="G5" s="306">
        <f t="shared" ref="G5:G68" ca="1" si="11">G4+acc_x*pas</f>
        <v>37.40864335617384</v>
      </c>
      <c r="H5" s="307">
        <f t="shared" ref="H5:H68" ca="1" si="12">H4+acc_z*pas</f>
        <v>172.56308296141736</v>
      </c>
      <c r="I5" s="304">
        <f t="shared" ref="I5:I68" ca="1" si="13">SQRT(vit_x^2+vit_z^2)</f>
        <v>176.57130060940941</v>
      </c>
      <c r="J5" s="306">
        <f t="shared" ref="J5:J68" ca="1" si="14">J4+0.5*(vit_x+G4)*pas*(K4&gt;=0)</f>
        <v>100.92604032284854</v>
      </c>
      <c r="K5" s="307">
        <f t="shared" ref="K5:K68" ca="1" si="15">K4+0.5*(vit_z+H4)*pas</f>
        <v>498.89571863685381</v>
      </c>
      <c r="L5" s="304">
        <f t="shared" ca="1" si="0"/>
        <v>509.0019682569332</v>
      </c>
      <c r="M5" s="306">
        <f t="shared" ref="M5:M68" ca="1" si="16">IF(AND(L4&gt;L_rampe,G5&gt;0),ATAN2(G5,H5),$M$4)</f>
        <v>1.3573171207957924</v>
      </c>
      <c r="N5" s="304">
        <f t="shared" ref="N5:N68" ca="1" si="17">DEGREES(Beta)</f>
        <v>77.768542482447444</v>
      </c>
      <c r="P5" s="310">
        <f t="shared" ref="P5:P68" ca="1" si="18">MATCH(t-pas/2-T_ini,CdP_t)</f>
        <v>1</v>
      </c>
      <c r="Q5" s="304">
        <f t="shared" ref="Q5:Q68" ca="1" si="19">(INDEX(CdP,2,i_P+1)-INDEX(CdP,2,i_P+0))/(INDEX(CdP,1,i_P+1)-INDEX(CdP,1,i_P+0))*(t-pas/2-T_ini-INDEX(CdP,1,i_P+0))+INDEX(CdP,2,i_P+0)</f>
        <v>62.499999999998664</v>
      </c>
      <c r="R5" s="306">
        <f t="shared" ref="R5:R68" ca="1" si="20">Poussee/(g*ISP)</f>
        <v>3.3171861836562053E-2</v>
      </c>
      <c r="S5" s="307">
        <f t="shared" ref="S5:S68" ca="1" si="21">S4-Débit*pas</f>
        <v>2.7545682813816343</v>
      </c>
      <c r="T5" s="304">
        <f t="shared" ca="1" si="1"/>
        <v>27.022314840353836</v>
      </c>
      <c r="U5" s="311">
        <f t="shared" ca="1" si="2"/>
        <v>0</v>
      </c>
      <c r="V5" s="306">
        <f t="shared" ca="1" si="3"/>
        <v>1.165372665560271</v>
      </c>
      <c r="W5" s="304">
        <f t="shared" ca="1" si="4"/>
        <v>74.400855392896574</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498.89571863685381</v>
      </c>
      <c r="AG5" s="306">
        <f t="shared" ref="AG5:AG68" ca="1" si="27">IF(AND(L4&lt;L_rampe,Poussee&lt;Poids*SIN(M4)),0,(-W4+Poussee)/m-Poids*SIN(M4)/m)</f>
        <v>-13.955346247895175</v>
      </c>
      <c r="AH5" s="304">
        <f t="shared" ref="AH5:AH68" ca="1" si="28">IF(AND(L4&lt;L_rampe,Poussee&lt;Poids*SIN(M4)), g*SIN(M4), (-W4+Poussee)/m)</f>
        <v>-4.3677915395676052</v>
      </c>
    </row>
    <row r="6" spans="1:248" x14ac:dyDescent="0.2">
      <c r="A6" s="347">
        <f t="shared" ca="1" si="6"/>
        <v>0.01</v>
      </c>
      <c r="B6" s="304">
        <f t="shared" ca="1" si="7"/>
        <v>3.2199999999999998</v>
      </c>
      <c r="D6" s="306">
        <f t="shared" ca="1" si="8"/>
        <v>8.7019092230620334</v>
      </c>
      <c r="E6" s="307">
        <f t="shared" ca="1" si="9"/>
        <v>30.331211989024204</v>
      </c>
      <c r="F6" s="304">
        <f t="shared" ca="1" si="10"/>
        <v>31.554803831580664</v>
      </c>
      <c r="G6" s="306">
        <f t="shared" ca="1" si="11"/>
        <v>37.49566244840446</v>
      </c>
      <c r="H6" s="307">
        <f t="shared" ca="1" si="12"/>
        <v>172.86639508130762</v>
      </c>
      <c r="I6" s="304">
        <f t="shared" ca="1" si="13"/>
        <v>176.88616466770776</v>
      </c>
      <c r="J6" s="306">
        <f t="shared" ca="1" si="14"/>
        <v>101.30056185187142</v>
      </c>
      <c r="K6" s="307">
        <f t="shared" ca="1" si="15"/>
        <v>500.62286602706746</v>
      </c>
      <c r="L6" s="304">
        <f t="shared" ca="1" si="0"/>
        <v>510.76908463674658</v>
      </c>
      <c r="M6" s="306">
        <f t="shared" ca="1" si="16"/>
        <v>1.3571996237396817</v>
      </c>
      <c r="N6" s="304">
        <f t="shared" ca="1" si="17"/>
        <v>77.761810397027091</v>
      </c>
      <c r="P6" s="310">
        <f t="shared" ca="1" si="18"/>
        <v>1</v>
      </c>
      <c r="Q6" s="304">
        <f t="shared" ca="1" si="19"/>
        <v>187.49999999999599</v>
      </c>
      <c r="R6" s="306">
        <f t="shared" ca="1" si="20"/>
        <v>9.9515585509686158E-2</v>
      </c>
      <c r="S6" s="307">
        <f t="shared" ca="1" si="21"/>
        <v>2.7535731255265374</v>
      </c>
      <c r="T6" s="304">
        <f t="shared" ca="1" si="1"/>
        <v>27.012552361415334</v>
      </c>
      <c r="U6" s="311">
        <f t="shared" ca="1" si="2"/>
        <v>0</v>
      </c>
      <c r="V6" s="306">
        <f t="shared" ca="1" si="3"/>
        <v>1.1651712801712539</v>
      </c>
      <c r="W6" s="304">
        <f t="shared" ca="1" si="4"/>
        <v>74.653534032710041</v>
      </c>
      <c r="Y6" s="314" t="str">
        <f t="shared" ca="1" si="22"/>
        <v/>
      </c>
      <c r="Z6" s="315" t="str">
        <f t="shared" ca="1" si="23"/>
        <v/>
      </c>
      <c r="AA6" s="316" t="str">
        <f t="shared" ca="1" si="24"/>
        <v/>
      </c>
      <c r="AC6" s="310" t="e">
        <f t="shared" ca="1" si="25"/>
        <v>#N/A</v>
      </c>
      <c r="AD6" s="323" t="e">
        <f t="shared" ca="1" si="26"/>
        <v>#N/A</v>
      </c>
      <c r="AE6" s="324">
        <f t="shared" ca="1" si="5"/>
        <v>500.62286602706746</v>
      </c>
      <c r="AG6" s="306">
        <f t="shared" ca="1" si="27"/>
        <v>31.48628372922219</v>
      </c>
      <c r="AH6" s="304">
        <f t="shared" ca="1" si="28"/>
        <v>41.073593999967819</v>
      </c>
    </row>
    <row r="7" spans="1:248" x14ac:dyDescent="0.2">
      <c r="A7" s="347">
        <f t="shared" ca="1" si="6"/>
        <v>0.01</v>
      </c>
      <c r="B7" s="304">
        <f t="shared" ca="1" si="7"/>
        <v>3.2299999999999995</v>
      </c>
      <c r="D7" s="306">
        <f t="shared" ca="1" si="8"/>
        <v>12.734632560863867</v>
      </c>
      <c r="E7" s="307">
        <f t="shared" ca="1" si="9"/>
        <v>48.90052489099984</v>
      </c>
      <c r="F7" s="304">
        <f t="shared" ca="1" si="10"/>
        <v>50.531497118881298</v>
      </c>
      <c r="G7" s="306">
        <f t="shared" ca="1" si="11"/>
        <v>37.623008774013101</v>
      </c>
      <c r="H7" s="307">
        <f t="shared" ca="1" si="12"/>
        <v>173.35540033021761</v>
      </c>
      <c r="I7" s="304">
        <f t="shared" ca="1" si="13"/>
        <v>177.39105279821607</v>
      </c>
      <c r="J7" s="306">
        <f t="shared" ca="1" si="14"/>
        <v>101.67615520798351</v>
      </c>
      <c r="K7" s="307">
        <f t="shared" ca="1" si="15"/>
        <v>502.35397500412506</v>
      </c>
      <c r="L7" s="304">
        <f t="shared" ca="1" si="0"/>
        <v>512.54029767455654</v>
      </c>
      <c r="M7" s="306">
        <f t="shared" ca="1" si="16"/>
        <v>1.3570823976003088</v>
      </c>
      <c r="N7" s="304">
        <f t="shared" ca="1" si="17"/>
        <v>77.755093833992419</v>
      </c>
      <c r="P7" s="310">
        <f t="shared" ca="1" si="18"/>
        <v>2</v>
      </c>
      <c r="Q7" s="304">
        <f t="shared" ca="1" si="19"/>
        <v>240.00000000000108</v>
      </c>
      <c r="R7" s="306">
        <f t="shared" ca="1" si="20"/>
        <v>0.12737994945240158</v>
      </c>
      <c r="S7" s="307">
        <f t="shared" ca="1" si="21"/>
        <v>2.7522993260320132</v>
      </c>
      <c r="T7" s="304">
        <f t="shared" ca="1" si="1"/>
        <v>27.000056388374052</v>
      </c>
      <c r="U7" s="311">
        <f t="shared" ca="1" si="2"/>
        <v>0</v>
      </c>
      <c r="V7" s="306">
        <f t="shared" ca="1" si="3"/>
        <v>1.1649694669080137</v>
      </c>
      <c r="W7" s="304">
        <f t="shared" ca="1" si="4"/>
        <v>75.067306782250867</v>
      </c>
      <c r="Y7" s="314" t="str">
        <f t="shared" ca="1" si="22"/>
        <v/>
      </c>
      <c r="Z7" s="315" t="str">
        <f t="shared" ca="1" si="23"/>
        <v/>
      </c>
      <c r="AA7" s="316" t="str">
        <f t="shared" ca="1" si="24"/>
        <v/>
      </c>
      <c r="AC7" s="310" t="e">
        <f t="shared" ca="1" si="25"/>
        <v>#N/A</v>
      </c>
      <c r="AD7" s="323" t="e">
        <f t="shared" ca="1" si="26"/>
        <v>#N/A</v>
      </c>
      <c r="AE7" s="324">
        <f t="shared" ca="1" si="5"/>
        <v>502.35397500412506</v>
      </c>
      <c r="AG7" s="306">
        <f t="shared" ca="1" si="27"/>
        <v>50.488691165725186</v>
      </c>
      <c r="AH7" s="304">
        <f t="shared" ca="1" si="28"/>
        <v>60.075757169068837</v>
      </c>
    </row>
    <row r="8" spans="1:248" x14ac:dyDescent="0.2">
      <c r="A8" s="347">
        <f t="shared" ca="1" si="6"/>
        <v>0.01</v>
      </c>
      <c r="B8" s="304">
        <f t="shared" ca="1" si="7"/>
        <v>3.2399999999999993</v>
      </c>
      <c r="D8" s="306">
        <f t="shared" ca="1" si="8"/>
        <v>11.173180064732906</v>
      </c>
      <c r="E8" s="307">
        <f t="shared" ca="1" si="9"/>
        <v>41.672621039635033</v>
      </c>
      <c r="F8" s="304">
        <f t="shared" ca="1" si="10"/>
        <v>43.144493241571134</v>
      </c>
      <c r="G8" s="306">
        <f t="shared" ca="1" si="11"/>
        <v>37.734740574660428</v>
      </c>
      <c r="H8" s="307">
        <f t="shared" ca="1" si="12"/>
        <v>173.77212654061395</v>
      </c>
      <c r="I8" s="304">
        <f t="shared" ca="1" si="13"/>
        <v>177.82199697642605</v>
      </c>
      <c r="J8" s="306">
        <f t="shared" ca="1" si="14"/>
        <v>102.05294395472689</v>
      </c>
      <c r="K8" s="307">
        <f t="shared" ca="1" si="15"/>
        <v>504.0896126384792</v>
      </c>
      <c r="L8" s="304">
        <f t="shared" ca="1" si="0"/>
        <v>514.31618770931038</v>
      </c>
      <c r="M8" s="306">
        <f t="shared" ca="1" si="16"/>
        <v>1.3569653923532814</v>
      </c>
      <c r="N8" s="304">
        <f t="shared" ca="1" si="17"/>
        <v>77.74838992715685</v>
      </c>
      <c r="P8" s="310">
        <f t="shared" ca="1" si="18"/>
        <v>2</v>
      </c>
      <c r="Q8" s="304">
        <f t="shared" ca="1" si="19"/>
        <v>220.00000000000148</v>
      </c>
      <c r="R8" s="306">
        <f t="shared" ca="1" si="20"/>
        <v>0.1167649536647017</v>
      </c>
      <c r="S8" s="307">
        <f t="shared" ca="1" si="21"/>
        <v>2.7511316764953664</v>
      </c>
      <c r="T8" s="304">
        <f t="shared" ca="1" si="1"/>
        <v>26.988601746419544</v>
      </c>
      <c r="U8" s="311">
        <f t="shared" ca="1" si="2"/>
        <v>0</v>
      </c>
      <c r="V8" s="306">
        <f t="shared" ca="1" si="3"/>
        <v>1.1647671599034066</v>
      </c>
      <c r="W8" s="304">
        <f t="shared" ca="1" si="4"/>
        <v>75.419379174168228</v>
      </c>
      <c r="Y8" s="314" t="str">
        <f t="shared" ca="1" si="22"/>
        <v/>
      </c>
      <c r="Z8" s="315" t="str">
        <f t="shared" ca="1" si="23"/>
        <v/>
      </c>
      <c r="AA8" s="316" t="str">
        <f t="shared" ca="1" si="24"/>
        <v/>
      </c>
      <c r="AC8" s="310" t="e">
        <f t="shared" ca="1" si="25"/>
        <v>#N/A</v>
      </c>
      <c r="AD8" s="323" t="e">
        <f t="shared" ca="1" si="26"/>
        <v>#N/A</v>
      </c>
      <c r="AE8" s="324">
        <f t="shared" ca="1" si="5"/>
        <v>504.0896126384792</v>
      </c>
      <c r="AG8" s="306">
        <f t="shared" ca="1" si="27"/>
        <v>43.094296099816219</v>
      </c>
      <c r="AH8" s="304">
        <f t="shared" ca="1" si="28"/>
        <v>52.681118267075696</v>
      </c>
    </row>
    <row r="9" spans="1:248" x14ac:dyDescent="0.2">
      <c r="A9" s="347">
        <f t="shared" ca="1" si="6"/>
        <v>0.01</v>
      </c>
      <c r="B9" s="304">
        <f t="shared" ca="1" si="7"/>
        <v>3.2499999999999991</v>
      </c>
      <c r="D9" s="306">
        <f t="shared" ca="1" si="8"/>
        <v>10.351647323343816</v>
      </c>
      <c r="E9" s="307">
        <f t="shared" ca="1" si="9"/>
        <v>37.860336172493938</v>
      </c>
      <c r="F9" s="304">
        <f t="shared" ca="1" si="10"/>
        <v>39.249989266255149</v>
      </c>
      <c r="G9" s="306">
        <f t="shared" ca="1" si="11"/>
        <v>37.838257047893869</v>
      </c>
      <c r="H9" s="307">
        <f t="shared" ca="1" si="12"/>
        <v>174.1507299023389</v>
      </c>
      <c r="I9" s="304">
        <f t="shared" ca="1" si="13"/>
        <v>178.21394564382408</v>
      </c>
      <c r="J9" s="306">
        <f t="shared" ca="1" si="14"/>
        <v>102.43080894283966</v>
      </c>
      <c r="K9" s="307">
        <f t="shared" ca="1" si="15"/>
        <v>505.82922692069394</v>
      </c>
      <c r="L9" s="304">
        <f t="shared" ca="1" si="0"/>
        <v>516.09619009238133</v>
      </c>
      <c r="M9" s="306">
        <f t="shared" ca="1" si="16"/>
        <v>1.3568485814968116</v>
      </c>
      <c r="N9" s="304">
        <f t="shared" ca="1" si="17"/>
        <v>77.74169715807983</v>
      </c>
      <c r="P9" s="310">
        <f t="shared" ca="1" si="18"/>
        <v>3</v>
      </c>
      <c r="Q9" s="304">
        <f t="shared" ca="1" si="19"/>
        <v>209.56896551724145</v>
      </c>
      <c r="R9" s="306">
        <f t="shared" ca="1" si="20"/>
        <v>0.11122868430990909</v>
      </c>
      <c r="S9" s="307">
        <f t="shared" ca="1" si="21"/>
        <v>2.7500193896522673</v>
      </c>
      <c r="T9" s="304">
        <f t="shared" ca="1" si="1"/>
        <v>26.977690212488746</v>
      </c>
      <c r="U9" s="311">
        <f t="shared" ca="1" si="2"/>
        <v>0</v>
      </c>
      <c r="V9" s="306">
        <f t="shared" ca="1" si="3"/>
        <v>1.1645644237430433</v>
      </c>
      <c r="W9" s="304">
        <f t="shared" ca="1" si="4"/>
        <v>75.73903357543449</v>
      </c>
      <c r="Y9" s="314" t="str">
        <f t="shared" ca="1" si="22"/>
        <v/>
      </c>
      <c r="Z9" s="315" t="str">
        <f t="shared" ca="1" si="23"/>
        <v/>
      </c>
      <c r="AA9" s="316" t="str">
        <f t="shared" ca="1" si="24"/>
        <v/>
      </c>
      <c r="AC9" s="310" t="e">
        <f t="shared" ca="1" si="25"/>
        <v>#N/A</v>
      </c>
      <c r="AD9" s="323" t="e">
        <f t="shared" ca="1" si="26"/>
        <v>#N/A</v>
      </c>
      <c r="AE9" s="324">
        <f t="shared" ca="1" si="5"/>
        <v>505.82922692069394</v>
      </c>
      <c r="AG9" s="306">
        <f t="shared" ca="1" si="27"/>
        <v>39.194745155333806</v>
      </c>
      <c r="AH9" s="304">
        <f t="shared" ca="1" si="28"/>
        <v>48.781323814606296</v>
      </c>
    </row>
    <row r="10" spans="1:248" x14ac:dyDescent="0.2">
      <c r="A10" s="347">
        <f t="shared" ca="1" si="6"/>
        <v>0.01</v>
      </c>
      <c r="B10" s="304">
        <f t="shared" ca="1" si="7"/>
        <v>3.2599999999999989</v>
      </c>
      <c r="D10" s="306">
        <f t="shared" ca="1" si="8"/>
        <v>10.270115795004982</v>
      </c>
      <c r="E10" s="307">
        <f t="shared" ca="1" si="9"/>
        <v>37.458249158987371</v>
      </c>
      <c r="F10" s="304">
        <f t="shared" ca="1" si="10"/>
        <v>38.840645057717424</v>
      </c>
      <c r="G10" s="306">
        <f t="shared" ca="1" si="11"/>
        <v>37.94095820584392</v>
      </c>
      <c r="H10" s="307">
        <f t="shared" ca="1" si="12"/>
        <v>174.52531239392877</v>
      </c>
      <c r="I10" s="304">
        <f t="shared" ca="1" si="13"/>
        <v>178.6017944360471</v>
      </c>
      <c r="J10" s="306">
        <f t="shared" ca="1" si="14"/>
        <v>102.80970501910835</v>
      </c>
      <c r="K10" s="307">
        <f t="shared" ca="1" si="15"/>
        <v>507.57260713217528</v>
      </c>
      <c r="L10" s="304">
        <f t="shared" ca="1" si="0"/>
        <v>517.88008936149458</v>
      </c>
      <c r="M10" s="306">
        <f t="shared" ca="1" si="16"/>
        <v>1.3567319616066602</v>
      </c>
      <c r="N10" s="304">
        <f t="shared" ca="1" si="17"/>
        <v>77.735015330566881</v>
      </c>
      <c r="P10" s="310">
        <f t="shared" ca="1" si="18"/>
        <v>3</v>
      </c>
      <c r="Q10" s="304">
        <f t="shared" ca="1" si="19"/>
        <v>208.70689655172424</v>
      </c>
      <c r="R10" s="306">
        <f t="shared" ca="1" si="20"/>
        <v>0.11077114138802549</v>
      </c>
      <c r="S10" s="307">
        <f t="shared" ca="1" si="21"/>
        <v>2.7489116782383869</v>
      </c>
      <c r="T10" s="304">
        <f t="shared" ca="1" si="1"/>
        <v>26.966823563518577</v>
      </c>
      <c r="U10" s="311">
        <f t="shared" ca="1" si="2"/>
        <v>0</v>
      </c>
      <c r="V10" s="306">
        <f t="shared" ca="1" si="3"/>
        <v>1.1643612832051442</v>
      </c>
      <c r="W10" s="304">
        <f t="shared" ca="1" si="4"/>
        <v>76.055786443711199</v>
      </c>
      <c r="Y10" s="314" t="str">
        <f t="shared" ca="1" si="22"/>
        <v/>
      </c>
      <c r="Z10" s="315" t="str">
        <f t="shared" ca="1" si="23"/>
        <v/>
      </c>
      <c r="AA10" s="316" t="str">
        <f t="shared" ca="1" si="24"/>
        <v/>
      </c>
      <c r="AC10" s="310" t="e">
        <f t="shared" ca="1" si="25"/>
        <v>#N/A</v>
      </c>
      <c r="AD10" s="323" t="e">
        <f t="shared" ca="1" si="26"/>
        <v>#N/A</v>
      </c>
      <c r="AE10" s="324">
        <f t="shared" ca="1" si="5"/>
        <v>507.57260713217528</v>
      </c>
      <c r="AG10" s="306">
        <f t="shared" ca="1" si="27"/>
        <v>38.784757771305692</v>
      </c>
      <c r="AH10" s="304">
        <f t="shared" ca="1" si="28"/>
        <v>48.371093196235719</v>
      </c>
    </row>
    <row r="11" spans="1:248" x14ac:dyDescent="0.2">
      <c r="A11" s="347">
        <f t="shared" ca="1" si="6"/>
        <v>0.01</v>
      </c>
      <c r="B11" s="304">
        <f t="shared" ca="1" si="7"/>
        <v>3.2699999999999987</v>
      </c>
      <c r="D11" s="306">
        <f t="shared" ca="1" si="8"/>
        <v>10.188618613599681</v>
      </c>
      <c r="E11" s="307">
        <f t="shared" ca="1" si="9"/>
        <v>37.056814400254019</v>
      </c>
      <c r="F11" s="304">
        <f t="shared" ca="1" si="10"/>
        <v>38.431958611919107</v>
      </c>
      <c r="G11" s="306">
        <f t="shared" ca="1" si="11"/>
        <v>38.042844391979919</v>
      </c>
      <c r="H11" s="307">
        <f t="shared" ca="1" si="12"/>
        <v>174.8958805379313</v>
      </c>
      <c r="I11" s="304">
        <f t="shared" ca="1" si="13"/>
        <v>178.98554980380604</v>
      </c>
      <c r="J11" s="306">
        <f t="shared" ca="1" si="14"/>
        <v>103.18962403209747</v>
      </c>
      <c r="K11" s="307">
        <f t="shared" ca="1" si="15"/>
        <v>509.31971309683456</v>
      </c>
      <c r="L11" s="304">
        <f t="shared" ca="1" si="0"/>
        <v>519.66784454777212</v>
      </c>
      <c r="M11" s="306">
        <f t="shared" ca="1" si="16"/>
        <v>1.3566155292963265</v>
      </c>
      <c r="N11" s="304">
        <f t="shared" ca="1" si="17"/>
        <v>77.728344250585792</v>
      </c>
      <c r="P11" s="310">
        <f t="shared" ca="1" si="18"/>
        <v>3</v>
      </c>
      <c r="Q11" s="304">
        <f t="shared" ca="1" si="19"/>
        <v>207.844827586207</v>
      </c>
      <c r="R11" s="306">
        <f t="shared" ca="1" si="20"/>
        <v>0.11031359846614187</v>
      </c>
      <c r="S11" s="307">
        <f t="shared" ca="1" si="21"/>
        <v>2.7478085422537255</v>
      </c>
      <c r="T11" s="304">
        <f t="shared" ca="1" si="1"/>
        <v>26.95600179950905</v>
      </c>
      <c r="U11" s="311">
        <f t="shared" ca="1" si="2"/>
        <v>0</v>
      </c>
      <c r="V11" s="306">
        <f t="shared" ca="1" si="3"/>
        <v>1.1641577431848997</v>
      </c>
      <c r="W11" s="304">
        <f t="shared" ca="1" si="4"/>
        <v>76.369621961190646</v>
      </c>
      <c r="Y11" s="314" t="str">
        <f t="shared" ca="1" si="22"/>
        <v/>
      </c>
      <c r="Z11" s="315" t="str">
        <f t="shared" ca="1" si="23"/>
        <v/>
      </c>
      <c r="AA11" s="316" t="str">
        <f t="shared" ca="1" si="24"/>
        <v/>
      </c>
      <c r="AC11" s="310" t="e">
        <f t="shared" ca="1" si="25"/>
        <v>#N/A</v>
      </c>
      <c r="AD11" s="323" t="e">
        <f t="shared" ca="1" si="26"/>
        <v>#N/A</v>
      </c>
      <c r="AE11" s="324">
        <f t="shared" ca="1" si="5"/>
        <v>509.31971309683456</v>
      </c>
      <c r="AG11" s="306">
        <f t="shared" ca="1" si="27"/>
        <v>38.375415455169232</v>
      </c>
      <c r="AH11" s="304">
        <f t="shared" ca="1" si="28"/>
        <v>47.961507912921668</v>
      </c>
    </row>
    <row r="12" spans="1:248" x14ac:dyDescent="0.2">
      <c r="A12" s="347">
        <f t="shared" ca="1" si="6"/>
        <v>0.01</v>
      </c>
      <c r="B12" s="304">
        <f t="shared" ca="1" si="7"/>
        <v>3.2799999999999985</v>
      </c>
      <c r="D12" s="306">
        <f t="shared" ca="1" si="8"/>
        <v>10.107158214901691</v>
      </c>
      <c r="E12" s="307">
        <f t="shared" ca="1" si="9"/>
        <v>36.656040170857437</v>
      </c>
      <c r="F12" s="304">
        <f t="shared" ca="1" si="10"/>
        <v>38.023938883137404</v>
      </c>
      <c r="G12" s="306">
        <f t="shared" ca="1" si="11"/>
        <v>38.143915974128937</v>
      </c>
      <c r="H12" s="307">
        <f t="shared" ca="1" si="12"/>
        <v>175.26244093963987</v>
      </c>
      <c r="I12" s="304">
        <f t="shared" ca="1" si="13"/>
        <v>179.36521828370786</v>
      </c>
      <c r="J12" s="306">
        <f t="shared" ca="1" si="14"/>
        <v>103.57055783392802</v>
      </c>
      <c r="K12" s="307">
        <f t="shared" ca="1" si="15"/>
        <v>511.0705047042224</v>
      </c>
      <c r="L12" s="304">
        <f t="shared" ca="1" si="0"/>
        <v>521.45941474736037</v>
      </c>
      <c r="M12" s="306">
        <f t="shared" ca="1" si="16"/>
        <v>1.3564992812163081</v>
      </c>
      <c r="N12" s="304">
        <f t="shared" ca="1" si="17"/>
        <v>77.721683726224242</v>
      </c>
      <c r="P12" s="310">
        <f t="shared" ca="1" si="18"/>
        <v>3</v>
      </c>
      <c r="Q12" s="304">
        <f t="shared" ca="1" si="19"/>
        <v>206.98275862068979</v>
      </c>
      <c r="R12" s="306">
        <f t="shared" ca="1" si="20"/>
        <v>0.10985605554425826</v>
      </c>
      <c r="S12" s="307">
        <f t="shared" ca="1" si="21"/>
        <v>2.7467099816982827</v>
      </c>
      <c r="T12" s="304">
        <f t="shared" ca="1" si="1"/>
        <v>26.945224920460156</v>
      </c>
      <c r="U12" s="311">
        <f t="shared" ca="1" si="2"/>
        <v>0</v>
      </c>
      <c r="V12" s="306">
        <f t="shared" ca="1" si="3"/>
        <v>1.1639538085670289</v>
      </c>
      <c r="W12" s="304">
        <f t="shared" ca="1" si="4"/>
        <v>76.680524693183443</v>
      </c>
      <c r="Y12" s="314" t="str">
        <f t="shared" ca="1" si="22"/>
        <v/>
      </c>
      <c r="Z12" s="315" t="str">
        <f t="shared" ca="1" si="23"/>
        <v/>
      </c>
      <c r="AA12" s="316" t="str">
        <f t="shared" ca="1" si="24"/>
        <v/>
      </c>
      <c r="AC12" s="310" t="e">
        <f t="shared" ca="1" si="25"/>
        <v>#N/A</v>
      </c>
      <c r="AD12" s="323" t="e">
        <f t="shared" ca="1" si="26"/>
        <v>#N/A</v>
      </c>
      <c r="AE12" s="324">
        <f t="shared" ca="1" si="5"/>
        <v>511.0705047042224</v>
      </c>
      <c r="AG12" s="306">
        <f t="shared" ca="1" si="27"/>
        <v>37.966726796545103</v>
      </c>
      <c r="AH12" s="304">
        <f t="shared" ca="1" si="28"/>
        <v>47.552576547867439</v>
      </c>
    </row>
    <row r="13" spans="1:248" x14ac:dyDescent="0.2">
      <c r="A13" s="347">
        <f t="shared" ca="1" si="6"/>
        <v>0.01</v>
      </c>
      <c r="B13" s="304">
        <f t="shared" ca="1" si="7"/>
        <v>3.2899999999999983</v>
      </c>
      <c r="D13" s="306">
        <f t="shared" ca="1" si="8"/>
        <v>10.025737002568023</v>
      </c>
      <c r="E13" s="307">
        <f t="shared" ca="1" si="9"/>
        <v>36.255934616695228</v>
      </c>
      <c r="F13" s="304">
        <f t="shared" ca="1" si="10"/>
        <v>37.61659470731955</v>
      </c>
      <c r="G13" s="306">
        <f t="shared" ca="1" si="11"/>
        <v>38.244173344154618</v>
      </c>
      <c r="H13" s="307">
        <f t="shared" ca="1" si="12"/>
        <v>175.62500028580683</v>
      </c>
      <c r="I13" s="304">
        <f t="shared" ca="1" si="13"/>
        <v>179.74080649693155</v>
      </c>
      <c r="J13" s="306">
        <f t="shared" ca="1" si="14"/>
        <v>103.95249828051944</v>
      </c>
      <c r="K13" s="307">
        <f t="shared" ca="1" si="15"/>
        <v>512.82494191034959</v>
      </c>
      <c r="L13" s="304">
        <f t="shared" ca="1" si="0"/>
        <v>523.25475912227955</v>
      </c>
      <c r="M13" s="306">
        <f t="shared" ca="1" si="16"/>
        <v>1.3563832140533785</v>
      </c>
      <c r="N13" s="304">
        <f t="shared" ca="1" si="17"/>
        <v>77.715033567648319</v>
      </c>
      <c r="P13" s="310">
        <f t="shared" ca="1" si="18"/>
        <v>3</v>
      </c>
      <c r="Q13" s="304">
        <f t="shared" ca="1" si="19"/>
        <v>206.12068965517258</v>
      </c>
      <c r="R13" s="306">
        <f t="shared" ca="1" si="20"/>
        <v>0.10939851262237466</v>
      </c>
      <c r="S13" s="307">
        <f t="shared" ca="1" si="21"/>
        <v>2.745615996572059</v>
      </c>
      <c r="T13" s="304">
        <f t="shared" ca="1" si="1"/>
        <v>26.934492926371899</v>
      </c>
      <c r="U13" s="311">
        <f t="shared" ca="1" si="2"/>
        <v>0</v>
      </c>
      <c r="V13" s="306">
        <f t="shared" ca="1" si="3"/>
        <v>1.1637494842256797</v>
      </c>
      <c r="W13" s="304">
        <f t="shared" ca="1" si="4"/>
        <v>76.988479586099857</v>
      </c>
      <c r="Y13" s="314" t="str">
        <f t="shared" ca="1" si="22"/>
        <v/>
      </c>
      <c r="Z13" s="315" t="str">
        <f t="shared" ca="1" si="23"/>
        <v/>
      </c>
      <c r="AA13" s="316" t="str">
        <f t="shared" ca="1" si="24"/>
        <v/>
      </c>
      <c r="AC13" s="310" t="e">
        <f t="shared" ca="1" si="25"/>
        <v>#N/A</v>
      </c>
      <c r="AD13" s="323" t="e">
        <f t="shared" ca="1" si="26"/>
        <v>#N/A</v>
      </c>
      <c r="AE13" s="324">
        <f t="shared" ca="1" si="5"/>
        <v>512.82494191034959</v>
      </c>
      <c r="AG13" s="306">
        <f t="shared" ca="1" si="27"/>
        <v>37.558700252682016</v>
      </c>
      <c r="AH13" s="304">
        <f t="shared" ca="1" si="28"/>
        <v>47.144307551965397</v>
      </c>
    </row>
    <row r="14" spans="1:248" x14ac:dyDescent="0.2">
      <c r="A14" s="347">
        <f t="shared" ca="1" si="6"/>
        <v>0.01</v>
      </c>
      <c r="B14" s="304">
        <f t="shared" ca="1" si="7"/>
        <v>3.299999999999998</v>
      </c>
      <c r="D14" s="306">
        <f t="shared" ca="1" si="8"/>
        <v>9.9443573482477809</v>
      </c>
      <c r="E14" s="307">
        <f t="shared" ca="1" si="9"/>
        <v>35.856505755317109</v>
      </c>
      <c r="F14" s="304">
        <f t="shared" ca="1" si="10"/>
        <v>37.20993480309712</v>
      </c>
      <c r="G14" s="306">
        <f t="shared" ca="1" si="11"/>
        <v>38.343616917637092</v>
      </c>
      <c r="H14" s="307">
        <f t="shared" ca="1" si="12"/>
        <v>175.98356534336</v>
      </c>
      <c r="I14" s="304">
        <f t="shared" ca="1" si="13"/>
        <v>180.11232114790806</v>
      </c>
      <c r="J14" s="306">
        <f t="shared" ca="1" si="14"/>
        <v>104.33543723182839</v>
      </c>
      <c r="K14" s="307">
        <f t="shared" ca="1" si="15"/>
        <v>514.58298473849538</v>
      </c>
      <c r="L14" s="304">
        <f t="shared" ca="1" si="0"/>
        <v>525.05383690126041</v>
      </c>
      <c r="M14" s="306">
        <f t="shared" ca="1" si="16"/>
        <v>1.3562673245298771</v>
      </c>
      <c r="N14" s="304">
        <f t="shared" ca="1" si="17"/>
        <v>77.708393587061906</v>
      </c>
      <c r="P14" s="310">
        <f t="shared" ca="1" si="18"/>
        <v>3</v>
      </c>
      <c r="Q14" s="304">
        <f t="shared" ca="1" si="19"/>
        <v>205.25862068965534</v>
      </c>
      <c r="R14" s="306">
        <f t="shared" ca="1" si="20"/>
        <v>0.10894096970049102</v>
      </c>
      <c r="S14" s="307">
        <f t="shared" ca="1" si="21"/>
        <v>2.7445265868750539</v>
      </c>
      <c r="T14" s="304">
        <f t="shared" ca="1" si="1"/>
        <v>26.923805817244279</v>
      </c>
      <c r="U14" s="311">
        <f t="shared" ca="1" si="2"/>
        <v>0</v>
      </c>
      <c r="V14" s="306">
        <f t="shared" ca="1" si="3"/>
        <v>1.1635447750243224</v>
      </c>
      <c r="W14" s="304">
        <f t="shared" ca="1" si="4"/>
        <v>77.293471965395469</v>
      </c>
      <c r="Y14" s="314" t="str">
        <f t="shared" ca="1" si="22"/>
        <v/>
      </c>
      <c r="Z14" s="315" t="str">
        <f t="shared" ca="1" si="23"/>
        <v/>
      </c>
      <c r="AA14" s="316" t="str">
        <f t="shared" ca="1" si="24"/>
        <v/>
      </c>
      <c r="AC14" s="310" t="e">
        <f t="shared" ca="1" si="25"/>
        <v>#N/A</v>
      </c>
      <c r="AD14" s="323" t="e">
        <f t="shared" ca="1" si="26"/>
        <v>#N/A</v>
      </c>
      <c r="AE14" s="324">
        <f t="shared" ca="1" si="5"/>
        <v>514.58298473849538</v>
      </c>
      <c r="AG14" s="306">
        <f t="shared" ca="1" si="27"/>
        <v>37.151344148787963</v>
      </c>
      <c r="AH14" s="304">
        <f t="shared" ca="1" si="28"/>
        <v>46.736709244126942</v>
      </c>
    </row>
    <row r="15" spans="1:248" x14ac:dyDescent="0.2">
      <c r="A15" s="347">
        <f t="shared" ca="1" si="6"/>
        <v>0.01</v>
      </c>
      <c r="B15" s="304">
        <f t="shared" ca="1" si="7"/>
        <v>3.3099999999999978</v>
      </c>
      <c r="D15" s="306">
        <f t="shared" ca="1" si="8"/>
        <v>9.8630215916929931</v>
      </c>
      <c r="E15" s="307">
        <f t="shared" ca="1" si="9"/>
        <v>35.457761476259776</v>
      </c>
      <c r="F15" s="304">
        <f t="shared" ca="1" si="10"/>
        <v>36.803967772857504</v>
      </c>
      <c r="G15" s="306">
        <f t="shared" ca="1" si="11"/>
        <v>38.442247133554019</v>
      </c>
      <c r="H15" s="307">
        <f t="shared" ca="1" si="12"/>
        <v>176.3381429581226</v>
      </c>
      <c r="I15" s="304">
        <f t="shared" ca="1" si="13"/>
        <v>180.47976902300303</v>
      </c>
      <c r="J15" s="306">
        <f t="shared" ca="1" si="14"/>
        <v>104.71936655208435</v>
      </c>
      <c r="K15" s="307">
        <f t="shared" ca="1" si="15"/>
        <v>516.34459328000275</v>
      </c>
      <c r="L15" s="304">
        <f t="shared" ca="1" si="0"/>
        <v>526.85660738056731</v>
      </c>
      <c r="M15" s="306">
        <f t="shared" ca="1" si="16"/>
        <v>1.3561516094030168</v>
      </c>
      <c r="N15" s="304">
        <f t="shared" ca="1" si="17"/>
        <v>77.701763598666986</v>
      </c>
      <c r="P15" s="310">
        <f t="shared" ca="1" si="18"/>
        <v>3</v>
      </c>
      <c r="Q15" s="304">
        <f t="shared" ca="1" si="19"/>
        <v>204.39655172413813</v>
      </c>
      <c r="R15" s="306">
        <f t="shared" ca="1" si="20"/>
        <v>0.10848342677860742</v>
      </c>
      <c r="S15" s="307">
        <f t="shared" ca="1" si="21"/>
        <v>2.7434417526072679</v>
      </c>
      <c r="T15" s="304">
        <f t="shared" ca="1" si="1"/>
        <v>26.9131635930773</v>
      </c>
      <c r="U15" s="311">
        <f t="shared" ca="1" si="2"/>
        <v>0</v>
      </c>
      <c r="V15" s="306">
        <f t="shared" ca="1" si="3"/>
        <v>1.1633396858156515</v>
      </c>
      <c r="W15" s="304">
        <f t="shared" ca="1" si="4"/>
        <v>77.59548753348254</v>
      </c>
      <c r="Y15" s="314" t="str">
        <f t="shared" ca="1" si="22"/>
        <v/>
      </c>
      <c r="Z15" s="315" t="str">
        <f t="shared" ca="1" si="23"/>
        <v/>
      </c>
      <c r="AA15" s="316" t="str">
        <f t="shared" ca="1" si="24"/>
        <v/>
      </c>
      <c r="AC15" s="310" t="e">
        <f t="shared" ca="1" si="25"/>
        <v>#N/A</v>
      </c>
      <c r="AD15" s="323" t="e">
        <f t="shared" ca="1" si="26"/>
        <v>#N/A</v>
      </c>
      <c r="AE15" s="324">
        <f t="shared" ca="1" si="5"/>
        <v>516.34459328000275</v>
      </c>
      <c r="AG15" s="306">
        <f t="shared" ca="1" si="27"/>
        <v>36.744666678378223</v>
      </c>
      <c r="AH15" s="304">
        <f t="shared" ca="1" si="28"/>
        <v>46.329789811629311</v>
      </c>
    </row>
    <row r="16" spans="1:248" x14ac:dyDescent="0.2">
      <c r="A16" s="347">
        <f t="shared" ca="1" si="6"/>
        <v>0.01</v>
      </c>
      <c r="B16" s="304">
        <f t="shared" ca="1" si="7"/>
        <v>3.3199999999999976</v>
      </c>
      <c r="D16" s="306">
        <f t="shared" ca="1" si="8"/>
        <v>9.7817320408713755</v>
      </c>
      <c r="E16" s="307">
        <f t="shared" ca="1" si="9"/>
        <v>35.059709541398426</v>
      </c>
      <c r="F16" s="304">
        <f t="shared" ca="1" si="10"/>
        <v>36.398702103874989</v>
      </c>
      <c r="G16" s="306">
        <f t="shared" ca="1" si="11"/>
        <v>38.540064453962735</v>
      </c>
      <c r="H16" s="307">
        <f t="shared" ca="1" si="12"/>
        <v>176.68874005353658</v>
      </c>
      <c r="I16" s="304">
        <f t="shared" ca="1" si="13"/>
        <v>180.84315698920383</v>
      </c>
      <c r="J16" s="306">
        <f t="shared" ca="1" si="14"/>
        <v>105.10427811002194</v>
      </c>
      <c r="K16" s="307">
        <f t="shared" ca="1" si="15"/>
        <v>518.109727695061</v>
      </c>
      <c r="L16" s="304">
        <f t="shared" ca="1" si="0"/>
        <v>528.6630299248086</v>
      </c>
      <c r="M16" s="306">
        <f t="shared" ca="1" si="16"/>
        <v>1.3560360654642054</v>
      </c>
      <c r="N16" s="304">
        <f t="shared" ca="1" si="17"/>
        <v>77.695143418624781</v>
      </c>
      <c r="P16" s="310">
        <f t="shared" ca="1" si="18"/>
        <v>3</v>
      </c>
      <c r="Q16" s="304">
        <f t="shared" ca="1" si="19"/>
        <v>203.5344827586209</v>
      </c>
      <c r="R16" s="306">
        <f t="shared" ca="1" si="20"/>
        <v>0.10802588385672381</v>
      </c>
      <c r="S16" s="307">
        <f t="shared" ca="1" si="21"/>
        <v>2.7423614937687004</v>
      </c>
      <c r="T16" s="304">
        <f t="shared" ca="1" si="1"/>
        <v>26.902566253870951</v>
      </c>
      <c r="U16" s="311">
        <f t="shared" ca="1" si="2"/>
        <v>0</v>
      </c>
      <c r="V16" s="306">
        <f t="shared" ca="1" si="3"/>
        <v>1.163134221441485</v>
      </c>
      <c r="W16" s="304">
        <f t="shared" ca="1" si="4"/>
        <v>77.894512367607632</v>
      </c>
      <c r="Y16" s="314" t="str">
        <f t="shared" ca="1" si="22"/>
        <v/>
      </c>
      <c r="Z16" s="315" t="str">
        <f t="shared" ca="1" si="23"/>
        <v/>
      </c>
      <c r="AA16" s="316" t="str">
        <f t="shared" ca="1" si="24"/>
        <v/>
      </c>
      <c r="AC16" s="310" t="e">
        <f t="shared" ca="1" si="25"/>
        <v>#N/A</v>
      </c>
      <c r="AD16" s="323" t="e">
        <f t="shared" ca="1" si="26"/>
        <v>#N/A</v>
      </c>
      <c r="AE16" s="324">
        <f t="shared" ca="1" si="5"/>
        <v>518.109727695061</v>
      </c>
      <c r="AG16" s="306">
        <f t="shared" ca="1" si="27"/>
        <v>36.338675903640208</v>
      </c>
      <c r="AH16" s="304">
        <f t="shared" ca="1" si="28"/>
        <v>45.923557310479232</v>
      </c>
    </row>
    <row r="17" spans="1:34" x14ac:dyDescent="0.2">
      <c r="A17" s="347">
        <f t="shared" ca="1" si="6"/>
        <v>0.01</v>
      </c>
      <c r="B17" s="304">
        <f t="shared" ca="1" si="7"/>
        <v>3.3299999999999974</v>
      </c>
      <c r="D17" s="306">
        <f t="shared" ca="1" si="8"/>
        <v>9.7004909720810151</v>
      </c>
      <c r="E17" s="307">
        <f t="shared" ca="1" si="9"/>
        <v>34.662357585314552</v>
      </c>
      <c r="F17" s="304">
        <f t="shared" ca="1" si="10"/>
        <v>35.994146169504269</v>
      </c>
      <c r="G17" s="306">
        <f t="shared" ca="1" si="11"/>
        <v>38.637069363683544</v>
      </c>
      <c r="H17" s="307">
        <f t="shared" ca="1" si="12"/>
        <v>177.03536362938974</v>
      </c>
      <c r="I17" s="304">
        <f t="shared" ca="1" si="13"/>
        <v>181.20249199280991</v>
      </c>
      <c r="J17" s="306">
        <f t="shared" ca="1" si="14"/>
        <v>105.49016377911016</v>
      </c>
      <c r="K17" s="307">
        <f t="shared" ca="1" si="15"/>
        <v>519.87834821347565</v>
      </c>
      <c r="L17" s="304">
        <f t="shared" ca="1" si="0"/>
        <v>530.47306396773376</v>
      </c>
      <c r="M17" s="306">
        <f t="shared" ca="1" si="16"/>
        <v>1.35592068953838</v>
      </c>
      <c r="N17" s="304">
        <f t="shared" ca="1" si="17"/>
        <v>77.688532865017564</v>
      </c>
      <c r="P17" s="310">
        <f t="shared" ca="1" si="18"/>
        <v>3</v>
      </c>
      <c r="Q17" s="304">
        <f t="shared" ca="1" si="19"/>
        <v>202.67241379310369</v>
      </c>
      <c r="R17" s="306">
        <f t="shared" ca="1" si="20"/>
        <v>0.10756834093484019</v>
      </c>
      <c r="S17" s="307">
        <f t="shared" ca="1" si="21"/>
        <v>2.741285810359352</v>
      </c>
      <c r="T17" s="304">
        <f t="shared" ca="1" si="1"/>
        <v>26.892013799625246</v>
      </c>
      <c r="U17" s="311">
        <f t="shared" ca="1" si="2"/>
        <v>0</v>
      </c>
      <c r="V17" s="306">
        <f t="shared" ca="1" si="3"/>
        <v>1.1629283867326676</v>
      </c>
      <c r="W17" s="304">
        <f t="shared" ca="1" si="4"/>
        <v>78.190532917696657</v>
      </c>
      <c r="Y17" s="314" t="str">
        <f t="shared" ca="1" si="22"/>
        <v/>
      </c>
      <c r="Z17" s="315" t="str">
        <f t="shared" ca="1" si="23"/>
        <v/>
      </c>
      <c r="AA17" s="316" t="str">
        <f t="shared" ca="1" si="24"/>
        <v/>
      </c>
      <c r="AC17" s="310" t="e">
        <f t="shared" ca="1" si="25"/>
        <v>#N/A</v>
      </c>
      <c r="AD17" s="323" t="e">
        <f t="shared" ca="1" si="26"/>
        <v>#N/A</v>
      </c>
      <c r="AE17" s="324">
        <f t="shared" ca="1" si="5"/>
        <v>519.87834821347565</v>
      </c>
      <c r="AG17" s="306">
        <f t="shared" ca="1" si="27"/>
        <v>35.933379755814613</v>
      </c>
      <c r="AH17" s="304">
        <f t="shared" ca="1" si="28"/>
        <v>45.518019665792913</v>
      </c>
    </row>
    <row r="18" spans="1:34" x14ac:dyDescent="0.2">
      <c r="A18" s="347">
        <f t="shared" ca="1" si="6"/>
        <v>0.01</v>
      </c>
      <c r="B18" s="304">
        <f t="shared" ca="1" si="7"/>
        <v>3.3399999999999972</v>
      </c>
      <c r="D18" s="306">
        <f t="shared" ca="1" si="8"/>
        <v>9.619300630067027</v>
      </c>
      <c r="E18" s="307">
        <f t="shared" ca="1" si="9"/>
        <v>34.265713115679709</v>
      </c>
      <c r="F18" s="304">
        <f t="shared" ca="1" si="10"/>
        <v>35.590308230439263</v>
      </c>
      <c r="G18" s="306">
        <f t="shared" ca="1" si="11"/>
        <v>38.733262369984217</v>
      </c>
      <c r="H18" s="307">
        <f t="shared" ca="1" si="12"/>
        <v>177.37802076054652</v>
      </c>
      <c r="I18" s="304">
        <f t="shared" ca="1" si="13"/>
        <v>181.55778105812735</v>
      </c>
      <c r="J18" s="306">
        <f t="shared" ca="1" si="14"/>
        <v>105.8770154377785</v>
      </c>
      <c r="K18" s="307">
        <f t="shared" ca="1" si="15"/>
        <v>521.65041513542531</v>
      </c>
      <c r="L18" s="304">
        <f t="shared" ca="1" si="0"/>
        <v>532.28666901301699</v>
      </c>
      <c r="M18" s="306">
        <f t="shared" ca="1" si="16"/>
        <v>1.3558054784833573</v>
      </c>
      <c r="N18" s="304">
        <f t="shared" ca="1" si="17"/>
        <v>77.681931757811526</v>
      </c>
      <c r="P18" s="310">
        <f t="shared" ca="1" si="18"/>
        <v>3</v>
      </c>
      <c r="Q18" s="304">
        <f t="shared" ca="1" si="19"/>
        <v>201.81034482758645</v>
      </c>
      <c r="R18" s="306">
        <f t="shared" ca="1" si="20"/>
        <v>0.10711079801295657</v>
      </c>
      <c r="S18" s="307">
        <f t="shared" ca="1" si="21"/>
        <v>2.7402147023792223</v>
      </c>
      <c r="T18" s="304">
        <f t="shared" ca="1" si="1"/>
        <v>26.881506230340172</v>
      </c>
      <c r="U18" s="311">
        <f t="shared" ca="1" si="2"/>
        <v>0</v>
      </c>
      <c r="V18" s="306">
        <f t="shared" ca="1" si="3"/>
        <v>1.1627221865089765</v>
      </c>
      <c r="W18" s="304">
        <f t="shared" ca="1" si="4"/>
        <v>78.4835360041684</v>
      </c>
      <c r="Y18" s="314" t="str">
        <f t="shared" ca="1" si="22"/>
        <v/>
      </c>
      <c r="Z18" s="315" t="str">
        <f t="shared" ca="1" si="23"/>
        <v/>
      </c>
      <c r="AA18" s="316" t="str">
        <f t="shared" ca="1" si="24"/>
        <v/>
      </c>
      <c r="AC18" s="310" t="e">
        <f t="shared" ca="1" si="25"/>
        <v>#N/A</v>
      </c>
      <c r="AD18" s="323" t="e">
        <f t="shared" ca="1" si="26"/>
        <v>#N/A</v>
      </c>
      <c r="AE18" s="324">
        <f t="shared" ca="1" si="5"/>
        <v>521.65041513542531</v>
      </c>
      <c r="AG18" s="306">
        <f t="shared" ca="1" si="27"/>
        <v>35.528786035592638</v>
      </c>
      <c r="AH18" s="304">
        <f t="shared" ca="1" si="28"/>
        <v>45.113184672192105</v>
      </c>
    </row>
    <row r="19" spans="1:34" x14ac:dyDescent="0.2">
      <c r="A19" s="347">
        <f t="shared" ca="1" si="6"/>
        <v>0.01</v>
      </c>
      <c r="B19" s="304">
        <f t="shared" ca="1" si="7"/>
        <v>3.349999999999997</v>
      </c>
      <c r="D19" s="306">
        <f t="shared" ca="1" si="8"/>
        <v>9.5381632281400481</v>
      </c>
      <c r="E19" s="307">
        <f t="shared" ca="1" si="9"/>
        <v>33.869783513654909</v>
      </c>
      <c r="F19" s="304">
        <f t="shared" ca="1" si="10"/>
        <v>35.187196436040381</v>
      </c>
      <c r="G19" s="306">
        <f t="shared" ca="1" si="11"/>
        <v>38.828644002265619</v>
      </c>
      <c r="H19" s="307">
        <f t="shared" ca="1" si="12"/>
        <v>177.71671859568306</v>
      </c>
      <c r="I19" s="304">
        <f t="shared" ca="1" si="13"/>
        <v>181.90903128616753</v>
      </c>
      <c r="J19" s="306">
        <f t="shared" ca="1" si="14"/>
        <v>106.26482496963975</v>
      </c>
      <c r="K19" s="307">
        <f t="shared" ca="1" si="15"/>
        <v>523.4258888322064</v>
      </c>
      <c r="L19" s="304">
        <f t="shared" ca="1" si="0"/>
        <v>534.10380463502929</v>
      </c>
      <c r="M19" s="306">
        <f t="shared" ca="1" si="16"/>
        <v>1.3556904291891956</v>
      </c>
      <c r="N19" s="304">
        <f t="shared" ca="1" si="17"/>
        <v>77.6753399188201</v>
      </c>
      <c r="P19" s="310">
        <f t="shared" ca="1" si="18"/>
        <v>3</v>
      </c>
      <c r="Q19" s="304">
        <f t="shared" ca="1" si="19"/>
        <v>200.94827586206924</v>
      </c>
      <c r="R19" s="306">
        <f t="shared" ca="1" si="20"/>
        <v>0.10665325509107296</v>
      </c>
      <c r="S19" s="307">
        <f t="shared" ca="1" si="21"/>
        <v>2.7391481698283116</v>
      </c>
      <c r="T19" s="304">
        <f t="shared" ca="1" si="1"/>
        <v>26.871043546015738</v>
      </c>
      <c r="U19" s="311">
        <f t="shared" ca="1" si="2"/>
        <v>0</v>
      </c>
      <c r="V19" s="306">
        <f t="shared" ca="1" si="3"/>
        <v>1.1625156255790259</v>
      </c>
      <c r="W19" s="304">
        <f t="shared" ca="1" si="4"/>
        <v>78.773508815716852</v>
      </c>
      <c r="Y19" s="314" t="str">
        <f t="shared" ca="1" si="22"/>
        <v/>
      </c>
      <c r="Z19" s="315" t="str">
        <f t="shared" ca="1" si="23"/>
        <v/>
      </c>
      <c r="AA19" s="316" t="str">
        <f t="shared" ca="1" si="24"/>
        <v/>
      </c>
      <c r="AC19" s="310" t="e">
        <f t="shared" ca="1" si="25"/>
        <v>#N/A</v>
      </c>
      <c r="AD19" s="323" t="e">
        <f t="shared" ca="1" si="26"/>
        <v>#N/A</v>
      </c>
      <c r="AE19" s="324">
        <f t="shared" ca="1" si="5"/>
        <v>523.4258888322064</v>
      </c>
      <c r="AG19" s="306">
        <f t="shared" ca="1" si="27"/>
        <v>35.124902413528964</v>
      </c>
      <c r="AH19" s="304">
        <f t="shared" ca="1" si="28"/>
        <v>44.709059994215963</v>
      </c>
    </row>
    <row r="20" spans="1:34" x14ac:dyDescent="0.2">
      <c r="A20" s="347">
        <f t="shared" ca="1" si="6"/>
        <v>0.01</v>
      </c>
      <c r="B20" s="304">
        <f t="shared" ca="1" si="7"/>
        <v>3.3599999999999968</v>
      </c>
      <c r="D20" s="306">
        <f t="shared" ca="1" si="8"/>
        <v>9.4570809482967153</v>
      </c>
      <c r="E20" s="307">
        <f t="shared" ca="1" si="9"/>
        <v>33.474576034305393</v>
      </c>
      <c r="F20" s="304">
        <f t="shared" ca="1" si="10"/>
        <v>34.784818825733872</v>
      </c>
      <c r="G20" s="306">
        <f t="shared" ca="1" si="11"/>
        <v>38.923214811748586</v>
      </c>
      <c r="H20" s="307">
        <f t="shared" ca="1" si="12"/>
        <v>178.05146435602612</v>
      </c>
      <c r="I20" s="304">
        <f t="shared" ca="1" si="13"/>
        <v>182.25624985335006</v>
      </c>
      <c r="J20" s="306">
        <f t="shared" ca="1" si="14"/>
        <v>106.65358426370982</v>
      </c>
      <c r="K20" s="307">
        <f t="shared" ca="1" si="15"/>
        <v>525.20472974696497</v>
      </c>
      <c r="L20" s="304">
        <f t="shared" ca="1" si="0"/>
        <v>535.92443047959546</v>
      </c>
      <c r="M20" s="306">
        <f t="shared" ca="1" si="16"/>
        <v>1.3555755385775707</v>
      </c>
      <c r="N20" s="304">
        <f t="shared" ca="1" si="17"/>
        <v>77.668757171668318</v>
      </c>
      <c r="P20" s="310">
        <f t="shared" ca="1" si="18"/>
        <v>3</v>
      </c>
      <c r="Q20" s="304">
        <f t="shared" ca="1" si="19"/>
        <v>200.086206896552</v>
      </c>
      <c r="R20" s="306">
        <f t="shared" ca="1" si="20"/>
        <v>0.10619571216918934</v>
      </c>
      <c r="S20" s="307">
        <f t="shared" ca="1" si="21"/>
        <v>2.7380862127066194</v>
      </c>
      <c r="T20" s="304">
        <f t="shared" ca="1" si="1"/>
        <v>26.860625746651937</v>
      </c>
      <c r="U20" s="311">
        <f t="shared" ca="1" si="2"/>
        <v>0</v>
      </c>
      <c r="V20" s="306">
        <f t="shared" ca="1" si="3"/>
        <v>1.1623087087401769</v>
      </c>
      <c r="W20" s="304">
        <f t="shared" ca="1" si="4"/>
        <v>79.060438907064096</v>
      </c>
      <c r="Y20" s="314" t="str">
        <f t="shared" ca="1" si="22"/>
        <v/>
      </c>
      <c r="Z20" s="315" t="str">
        <f t="shared" ca="1" si="23"/>
        <v/>
      </c>
      <c r="AA20" s="316" t="str">
        <f t="shared" ca="1" si="24"/>
        <v/>
      </c>
      <c r="AC20" s="310" t="e">
        <f t="shared" ca="1" si="25"/>
        <v>#N/A</v>
      </c>
      <c r="AD20" s="323" t="e">
        <f t="shared" ca="1" si="26"/>
        <v>#N/A</v>
      </c>
      <c r="AE20" s="324">
        <f t="shared" ca="1" si="5"/>
        <v>525.20472974696497</v>
      </c>
      <c r="AG20" s="306">
        <f t="shared" ca="1" si="27"/>
        <v>34.721736430470216</v>
      </c>
      <c r="AH20" s="304">
        <f t="shared" ca="1" si="28"/>
        <v>44.305653166748392</v>
      </c>
    </row>
    <row r="21" spans="1:34" x14ac:dyDescent="0.2">
      <c r="A21" s="347">
        <f t="shared" ca="1" si="6"/>
        <v>0.01</v>
      </c>
      <c r="B21" s="304">
        <f t="shared" ca="1" si="7"/>
        <v>3.3699999999999966</v>
      </c>
      <c r="D21" s="306">
        <f t="shared" ca="1" si="8"/>
        <v>9.3760559413419617</v>
      </c>
      <c r="E21" s="307">
        <f t="shared" ca="1" si="9"/>
        <v>33.080097807030505</v>
      </c>
      <c r="F21" s="304">
        <f t="shared" ca="1" si="10"/>
        <v>34.383183330486986</v>
      </c>
      <c r="G21" s="306">
        <f t="shared" ca="1" si="11"/>
        <v>39.016975371162005</v>
      </c>
      <c r="H21" s="307">
        <f t="shared" ca="1" si="12"/>
        <v>178.38226533409642</v>
      </c>
      <c r="I21" s="304">
        <f t="shared" ca="1" si="13"/>
        <v>182.59944401021008</v>
      </c>
      <c r="J21" s="306">
        <f t="shared" ca="1" si="14"/>
        <v>107.04328521462438</v>
      </c>
      <c r="K21" s="307">
        <f t="shared" ca="1" si="15"/>
        <v>526.98689839541555</v>
      </c>
      <c r="L21" s="304">
        <f t="shared" ca="1" si="0"/>
        <v>537.74850626474029</v>
      </c>
      <c r="M21" s="306">
        <f t="shared" ca="1" si="16"/>
        <v>1.3554608036011642</v>
      </c>
      <c r="N21" s="304">
        <f t="shared" ca="1" si="17"/>
        <v>77.662183341757682</v>
      </c>
      <c r="P21" s="310">
        <f t="shared" ca="1" si="18"/>
        <v>3</v>
      </c>
      <c r="Q21" s="304">
        <f t="shared" ca="1" si="19"/>
        <v>199.22413793103479</v>
      </c>
      <c r="R21" s="306">
        <f t="shared" ca="1" si="20"/>
        <v>0.10573816924730574</v>
      </c>
      <c r="S21" s="307">
        <f t="shared" ca="1" si="21"/>
        <v>2.7370288310141464</v>
      </c>
      <c r="T21" s="304">
        <f t="shared" ca="1" si="1"/>
        <v>26.850252832248778</v>
      </c>
      <c r="U21" s="311">
        <f t="shared" ca="1" si="2"/>
        <v>0</v>
      </c>
      <c r="V21" s="306">
        <f t="shared" ca="1" si="3"/>
        <v>1.1621014407784471</v>
      </c>
      <c r="W21" s="304">
        <f t="shared" ca="1" si="4"/>
        <v>79.344314196683854</v>
      </c>
      <c r="Y21" s="314" t="str">
        <f t="shared" ca="1" si="22"/>
        <v/>
      </c>
      <c r="Z21" s="315" t="str">
        <f t="shared" ca="1" si="23"/>
        <v/>
      </c>
      <c r="AA21" s="316" t="str">
        <f t="shared" ca="1" si="24"/>
        <v/>
      </c>
      <c r="AC21" s="310" t="e">
        <f t="shared" ca="1" si="25"/>
        <v>#N/A</v>
      </c>
      <c r="AD21" s="323" t="e">
        <f t="shared" ca="1" si="26"/>
        <v>#N/A</v>
      </c>
      <c r="AE21" s="324">
        <f t="shared" ca="1" si="5"/>
        <v>526.98689839541555</v>
      </c>
      <c r="AG21" s="306">
        <f t="shared" ca="1" si="27"/>
        <v>34.319295497998546</v>
      </c>
      <c r="AH21" s="304">
        <f t="shared" ca="1" si="28"/>
        <v>43.902971595460563</v>
      </c>
    </row>
    <row r="22" spans="1:34" x14ac:dyDescent="0.2">
      <c r="A22" s="347">
        <f t="shared" ca="1" si="6"/>
        <v>0.01</v>
      </c>
      <c r="B22" s="304">
        <f t="shared" ca="1" si="7"/>
        <v>3.3799999999999963</v>
      </c>
      <c r="D22" s="306">
        <f t="shared" ca="1" si="8"/>
        <v>9.2950903270132379</v>
      </c>
      <c r="E22" s="307">
        <f t="shared" ca="1" si="9"/>
        <v>32.68635583600819</v>
      </c>
      <c r="F22" s="304">
        <f t="shared" ca="1" si="10"/>
        <v>33.982297774363076</v>
      </c>
      <c r="G22" s="306">
        <f t="shared" ca="1" si="11"/>
        <v>39.109926274432134</v>
      </c>
      <c r="H22" s="307">
        <f t="shared" ca="1" si="12"/>
        <v>178.7091288924565</v>
      </c>
      <c r="I22" s="304">
        <f t="shared" ca="1" si="13"/>
        <v>182.93862108011024</v>
      </c>
      <c r="J22" s="306">
        <f t="shared" ca="1" si="14"/>
        <v>107.43391972285235</v>
      </c>
      <c r="K22" s="307">
        <f t="shared" ca="1" si="15"/>
        <v>528.77235536654837</v>
      </c>
      <c r="L22" s="304">
        <f t="shared" ca="1" si="0"/>
        <v>539.5759917814205</v>
      </c>
      <c r="M22" s="306">
        <f t="shared" ca="1" si="16"/>
        <v>1.3553462212430647</v>
      </c>
      <c r="N22" s="304">
        <f t="shared" ca="1" si="17"/>
        <v>77.655618256231932</v>
      </c>
      <c r="P22" s="310">
        <f t="shared" ca="1" si="18"/>
        <v>3</v>
      </c>
      <c r="Q22" s="304">
        <f t="shared" ca="1" si="19"/>
        <v>198.36206896551755</v>
      </c>
      <c r="R22" s="306">
        <f t="shared" ca="1" si="20"/>
        <v>0.10528062632542211</v>
      </c>
      <c r="S22" s="307">
        <f t="shared" ca="1" si="21"/>
        <v>2.735976024750892</v>
      </c>
      <c r="T22" s="304">
        <f t="shared" ca="1" si="1"/>
        <v>26.839924802806252</v>
      </c>
      <c r="U22" s="311">
        <f t="shared" ca="1" si="2"/>
        <v>0</v>
      </c>
      <c r="V22" s="306">
        <f t="shared" ca="1" si="3"/>
        <v>1.1618938264684209</v>
      </c>
      <c r="W22" s="304">
        <f t="shared" ca="1" si="4"/>
        <v>79.625122964497109</v>
      </c>
      <c r="Y22" s="314" t="str">
        <f t="shared" ca="1" si="22"/>
        <v/>
      </c>
      <c r="Z22" s="315" t="str">
        <f t="shared" ca="1" si="23"/>
        <v/>
      </c>
      <c r="AA22" s="316" t="str">
        <f t="shared" ca="1" si="24"/>
        <v/>
      </c>
      <c r="AC22" s="310" t="e">
        <f t="shared" ca="1" si="25"/>
        <v>#N/A</v>
      </c>
      <c r="AD22" s="323" t="e">
        <f t="shared" ca="1" si="26"/>
        <v>#N/A</v>
      </c>
      <c r="AE22" s="324">
        <f t="shared" ca="1" si="5"/>
        <v>528.77235536654837</v>
      </c>
      <c r="AG22" s="306">
        <f t="shared" ca="1" si="27"/>
        <v>33.917586898890036</v>
      </c>
      <c r="AH22" s="304">
        <f t="shared" ca="1" si="28"/>
        <v>43.501022557268264</v>
      </c>
    </row>
    <row r="23" spans="1:34" x14ac:dyDescent="0.2">
      <c r="A23" s="347">
        <f t="shared" ca="1" si="6"/>
        <v>0.01</v>
      </c>
      <c r="B23" s="304">
        <f t="shared" ca="1" si="7"/>
        <v>3.3899999999999961</v>
      </c>
      <c r="D23" s="306">
        <f t="shared" ca="1" si="8"/>
        <v>9.2141861941065279</v>
      </c>
      <c r="E23" s="307">
        <f t="shared" ca="1" si="9"/>
        <v>32.293357000654076</v>
      </c>
      <c r="F23" s="304">
        <f t="shared" ca="1" si="10"/>
        <v>33.582169876161323</v>
      </c>
      <c r="G23" s="306">
        <f t="shared" ca="1" si="11"/>
        <v>39.2020681363732</v>
      </c>
      <c r="H23" s="307">
        <f t="shared" ca="1" si="12"/>
        <v>179.03206246246305</v>
      </c>
      <c r="I23" s="304">
        <f t="shared" ca="1" si="13"/>
        <v>183.27378845795738</v>
      </c>
      <c r="J23" s="306">
        <f t="shared" ca="1" si="14"/>
        <v>107.82547969490638</v>
      </c>
      <c r="K23" s="307">
        <f t="shared" ca="1" si="15"/>
        <v>530.56106132332297</v>
      </c>
      <c r="L23" s="304">
        <f t="shared" ca="1" si="0"/>
        <v>541.40684689424415</v>
      </c>
      <c r="M23" s="306">
        <f t="shared" ca="1" si="16"/>
        <v>1.3552317885161802</v>
      </c>
      <c r="N23" s="304">
        <f t="shared" ca="1" si="17"/>
        <v>77.649061743943278</v>
      </c>
      <c r="P23" s="310">
        <f t="shared" ca="1" si="18"/>
        <v>3</v>
      </c>
      <c r="Q23" s="304">
        <f t="shared" ca="1" si="19"/>
        <v>197.50000000000034</v>
      </c>
      <c r="R23" s="306">
        <f t="shared" ca="1" si="20"/>
        <v>0.10482308340353851</v>
      </c>
      <c r="S23" s="307">
        <f t="shared" ca="1" si="21"/>
        <v>2.7349277939168566</v>
      </c>
      <c r="T23" s="304">
        <f t="shared" ca="1" si="1"/>
        <v>26.829641658324366</v>
      </c>
      <c r="U23" s="311">
        <f t="shared" ca="1" si="2"/>
        <v>0</v>
      </c>
      <c r="V23" s="306">
        <f t="shared" ca="1" si="3"/>
        <v>1.1616858705731663</v>
      </c>
      <c r="W23" s="304">
        <f t="shared" ca="1" si="4"/>
        <v>79.902853849540875</v>
      </c>
      <c r="Y23" s="314" t="str">
        <f t="shared" ca="1" si="22"/>
        <v/>
      </c>
      <c r="Z23" s="315" t="str">
        <f t="shared" ca="1" si="23"/>
        <v/>
      </c>
      <c r="AA23" s="316" t="str">
        <f t="shared" ca="1" si="24"/>
        <v/>
      </c>
      <c r="AC23" s="310" t="e">
        <f t="shared" ca="1" si="25"/>
        <v>#N/A</v>
      </c>
      <c r="AD23" s="323" t="e">
        <f t="shared" ca="1" si="26"/>
        <v>#N/A</v>
      </c>
      <c r="AE23" s="324">
        <f t="shared" ca="1" si="5"/>
        <v>530.56106132332297</v>
      </c>
      <c r="AG23" s="306">
        <f t="shared" ca="1" si="27"/>
        <v>33.516617787587755</v>
      </c>
      <c r="AH23" s="304">
        <f t="shared" ca="1" si="28"/>
        <v>43.099813200803901</v>
      </c>
    </row>
    <row r="24" spans="1:34" x14ac:dyDescent="0.2">
      <c r="A24" s="347">
        <f t="shared" ca="1" si="6"/>
        <v>0.01</v>
      </c>
      <c r="B24" s="304">
        <f t="shared" ca="1" si="7"/>
        <v>3.3999999999999959</v>
      </c>
      <c r="D24" s="306">
        <f t="shared" ca="1" si="8"/>
        <v>9.1333456006042439</v>
      </c>
      <c r="E24" s="307">
        <f t="shared" ca="1" si="9"/>
        <v>31.901108056094472</v>
      </c>
      <c r="F24" s="304">
        <f t="shared" ca="1" si="10"/>
        <v>33.182807251145775</v>
      </c>
      <c r="G24" s="306">
        <f t="shared" ca="1" si="11"/>
        <v>39.29340159237924</v>
      </c>
      <c r="H24" s="307">
        <f t="shared" ca="1" si="12"/>
        <v>179.351073543024</v>
      </c>
      <c r="I24" s="304">
        <f t="shared" ca="1" si="13"/>
        <v>183.60495360892415</v>
      </c>
      <c r="J24" s="306">
        <f t="shared" ca="1" si="14"/>
        <v>108.21795704355014</v>
      </c>
      <c r="K24" s="307">
        <f t="shared" ca="1" si="15"/>
        <v>532.35297700335036</v>
      </c>
      <c r="L24" s="304">
        <f t="shared" ca="1" si="0"/>
        <v>543.24103154217778</v>
      </c>
      <c r="M24" s="306">
        <f t="shared" ca="1" si="16"/>
        <v>1.3551175024626636</v>
      </c>
      <c r="N24" s="304">
        <f t="shared" ca="1" si="17"/>
        <v>77.642513635419562</v>
      </c>
      <c r="P24" s="310">
        <f t="shared" ca="1" si="18"/>
        <v>3</v>
      </c>
      <c r="Q24" s="304">
        <f t="shared" ca="1" si="19"/>
        <v>196.63793103448313</v>
      </c>
      <c r="R24" s="306">
        <f t="shared" ca="1" si="20"/>
        <v>0.10436554048165489</v>
      </c>
      <c r="S24" s="307">
        <f t="shared" ca="1" si="21"/>
        <v>2.7338841385120398</v>
      </c>
      <c r="T24" s="304">
        <f t="shared" ca="1" si="1"/>
        <v>26.819403398803111</v>
      </c>
      <c r="U24" s="311">
        <f t="shared" ca="1" si="2"/>
        <v>0</v>
      </c>
      <c r="V24" s="306">
        <f t="shared" ca="1" si="3"/>
        <v>1.1614775778441464</v>
      </c>
      <c r="W24" s="304">
        <f t="shared" ca="1" si="4"/>
        <v>80.177495847610061</v>
      </c>
      <c r="Y24" s="314" t="str">
        <f t="shared" ca="1" si="22"/>
        <v/>
      </c>
      <c r="Z24" s="315" t="str">
        <f t="shared" ca="1" si="23"/>
        <v/>
      </c>
      <c r="AA24" s="316" t="str">
        <f t="shared" ca="1" si="24"/>
        <v/>
      </c>
      <c r="AC24" s="310" t="e">
        <f t="shared" ca="1" si="25"/>
        <v>#N/A</v>
      </c>
      <c r="AD24" s="323" t="e">
        <f t="shared" ca="1" si="26"/>
        <v>#N/A</v>
      </c>
      <c r="AE24" s="324">
        <f t="shared" ca="1" si="5"/>
        <v>532.35297700335036</v>
      </c>
      <c r="AG24" s="306">
        <f t="shared" ca="1" si="27"/>
        <v>33.116395190688827</v>
      </c>
      <c r="AH24" s="304">
        <f t="shared" ca="1" si="28"/>
        <v>42.699350546902544</v>
      </c>
    </row>
    <row r="25" spans="1:34" x14ac:dyDescent="0.2">
      <c r="A25" s="347">
        <f t="shared" ca="1" si="6"/>
        <v>0.01</v>
      </c>
      <c r="B25" s="304">
        <f t="shared" ca="1" si="7"/>
        <v>3.4099999999999957</v>
      </c>
      <c r="D25" s="306">
        <f t="shared" ca="1" si="8"/>
        <v>9.0525705738048732</v>
      </c>
      <c r="E25" s="307">
        <f t="shared" ca="1" si="9"/>
        <v>31.509615633653368</v>
      </c>
      <c r="F25" s="304">
        <f t="shared" ca="1" si="10"/>
        <v>32.784217412869424</v>
      </c>
      <c r="G25" s="306">
        <f t="shared" ca="1" si="11"/>
        <v>39.383927298117285</v>
      </c>
      <c r="H25" s="307">
        <f t="shared" ca="1" si="12"/>
        <v>179.66616969936052</v>
      </c>
      <c r="I25" s="304">
        <f t="shared" ca="1" si="13"/>
        <v>183.93212406717538</v>
      </c>
      <c r="J25" s="306">
        <f t="shared" ca="1" si="14"/>
        <v>108.61134368800262</v>
      </c>
      <c r="K25" s="307">
        <f t="shared" ca="1" si="15"/>
        <v>534.14806321956223</v>
      </c>
      <c r="L25" s="304">
        <f t="shared" ca="1" si="0"/>
        <v>545.0785057392402</v>
      </c>
      <c r="M25" s="306">
        <f t="shared" ca="1" si="16"/>
        <v>1.3550033601533475</v>
      </c>
      <c r="N25" s="304">
        <f t="shared" ca="1" si="17"/>
        <v>77.635973762831881</v>
      </c>
      <c r="P25" s="310">
        <f t="shared" ca="1" si="18"/>
        <v>3</v>
      </c>
      <c r="Q25" s="304">
        <f t="shared" ca="1" si="19"/>
        <v>195.77586206896589</v>
      </c>
      <c r="R25" s="306">
        <f t="shared" ca="1" si="20"/>
        <v>0.10390799755977127</v>
      </c>
      <c r="S25" s="307">
        <f t="shared" ca="1" si="21"/>
        <v>2.7328450585364421</v>
      </c>
      <c r="T25" s="304">
        <f t="shared" ca="1" si="1"/>
        <v>26.8092100242425</v>
      </c>
      <c r="U25" s="311">
        <f t="shared" ca="1" si="2"/>
        <v>0</v>
      </c>
      <c r="V25" s="306">
        <f t="shared" ca="1" si="3"/>
        <v>1.1612689530211393</v>
      </c>
      <c r="W25" s="304">
        <f t="shared" ca="1" si="4"/>
        <v>80.449038308874265</v>
      </c>
      <c r="Y25" s="314" t="str">
        <f t="shared" ca="1" si="22"/>
        <v/>
      </c>
      <c r="Z25" s="315" t="str">
        <f t="shared" ca="1" si="23"/>
        <v/>
      </c>
      <c r="AA25" s="316" t="str">
        <f t="shared" ca="1" si="24"/>
        <v/>
      </c>
      <c r="AC25" s="310" t="e">
        <f t="shared" ca="1" si="25"/>
        <v>#N/A</v>
      </c>
      <c r="AD25" s="323" t="e">
        <f t="shared" ca="1" si="26"/>
        <v>#N/A</v>
      </c>
      <c r="AE25" s="324">
        <f t="shared" ca="1" si="5"/>
        <v>534.14806321956223</v>
      </c>
      <c r="AG25" s="306">
        <f t="shared" ca="1" si="27"/>
        <v>32.716926007445608</v>
      </c>
      <c r="AH25" s="304">
        <f t="shared" ca="1" si="28"/>
        <v>42.299641489102129</v>
      </c>
    </row>
    <row r="26" spans="1:34" x14ac:dyDescent="0.2">
      <c r="A26" s="347">
        <f t="shared" ca="1" si="6"/>
        <v>0.01</v>
      </c>
      <c r="B26" s="304">
        <f t="shared" ca="1" si="7"/>
        <v>3.4199999999999955</v>
      </c>
      <c r="D26" s="306">
        <f t="shared" ca="1" si="8"/>
        <v>8.9718631104545441</v>
      </c>
      <c r="E26" s="307">
        <f t="shared" ca="1" si="9"/>
        <v>31.118886241352982</v>
      </c>
      <c r="F26" s="304">
        <f t="shared" ca="1" si="10"/>
        <v>32.386407775099158</v>
      </c>
      <c r="G26" s="306">
        <f t="shared" ca="1" si="11"/>
        <v>39.473645929221831</v>
      </c>
      <c r="H26" s="307">
        <f t="shared" ca="1" si="12"/>
        <v>179.97735856177405</v>
      </c>
      <c r="I26" s="304">
        <f t="shared" ca="1" si="13"/>
        <v>184.25530743459998</v>
      </c>
      <c r="J26" s="306">
        <f t="shared" ca="1" si="14"/>
        <v>109.00563155413931</v>
      </c>
      <c r="K26" s="307">
        <f t="shared" ca="1" si="15"/>
        <v>535.94628086086789</v>
      </c>
      <c r="L26" s="304">
        <f t="shared" ca="1" si="0"/>
        <v>546.9192295751842</v>
      </c>
      <c r="M26" s="306">
        <f t="shared" ca="1" si="16"/>
        <v>1.3548893586871931</v>
      </c>
      <c r="N26" s="304">
        <f t="shared" ca="1" si="17"/>
        <v>77.629441959962918</v>
      </c>
      <c r="P26" s="310">
        <f t="shared" ca="1" si="18"/>
        <v>3</v>
      </c>
      <c r="Q26" s="304">
        <f t="shared" ca="1" si="19"/>
        <v>194.91379310344868</v>
      </c>
      <c r="R26" s="306">
        <f t="shared" ca="1" si="20"/>
        <v>0.10345045463788767</v>
      </c>
      <c r="S26" s="307">
        <f t="shared" ca="1" si="21"/>
        <v>2.7318105539900635</v>
      </c>
      <c r="T26" s="304">
        <f t="shared" ca="1" si="1"/>
        <v>26.799061534642522</v>
      </c>
      <c r="U26" s="311">
        <f t="shared" ca="1" si="2"/>
        <v>0</v>
      </c>
      <c r="V26" s="306">
        <f t="shared" ca="1" si="3"/>
        <v>1.1610600008321563</v>
      </c>
      <c r="W26" s="304">
        <f t="shared" ca="1" si="4"/>
        <v>80.717470935470274</v>
      </c>
      <c r="Y26" s="314" t="str">
        <f t="shared" ca="1" si="22"/>
        <v/>
      </c>
      <c r="Z26" s="315" t="str">
        <f t="shared" ca="1" si="23"/>
        <v/>
      </c>
      <c r="AA26" s="316" t="str">
        <f t="shared" ca="1" si="24"/>
        <v/>
      </c>
      <c r="AC26" s="310" t="e">
        <f t="shared" ca="1" si="25"/>
        <v>#N/A</v>
      </c>
      <c r="AD26" s="323" t="e">
        <f t="shared" ca="1" si="26"/>
        <v>#N/A</v>
      </c>
      <c r="AE26" s="324">
        <f t="shared" ca="1" si="5"/>
        <v>535.94628086086789</v>
      </c>
      <c r="AG26" s="306">
        <f t="shared" ca="1" si="27"/>
        <v>32.318217010280563</v>
      </c>
      <c r="AH26" s="304">
        <f t="shared" ca="1" si="28"/>
        <v>41.900692794157337</v>
      </c>
    </row>
    <row r="27" spans="1:34" x14ac:dyDescent="0.2">
      <c r="A27" s="347">
        <f t="shared" ca="1" si="6"/>
        <v>0.01</v>
      </c>
      <c r="B27" s="304">
        <f t="shared" ca="1" si="7"/>
        <v>3.4299999999999953</v>
      </c>
      <c r="D27" s="306">
        <f t="shared" ca="1" si="8"/>
        <v>8.89122517688015</v>
      </c>
      <c r="E27" s="307">
        <f t="shared" ca="1" si="9"/>
        <v>30.72892626442723</v>
      </c>
      <c r="F27" s="304">
        <f t="shared" ca="1" si="10"/>
        <v>31.989385653847638</v>
      </c>
      <c r="G27" s="306">
        <f t="shared" ca="1" si="11"/>
        <v>39.562558180990635</v>
      </c>
      <c r="H27" s="307">
        <f t="shared" ca="1" si="12"/>
        <v>180.28464782441833</v>
      </c>
      <c r="I27" s="304">
        <f t="shared" ca="1" si="13"/>
        <v>184.57451137954777</v>
      </c>
      <c r="J27" s="306">
        <f t="shared" ca="1" si="14"/>
        <v>109.40081257469038</v>
      </c>
      <c r="K27" s="307">
        <f t="shared" ca="1" si="15"/>
        <v>537.74759089279883</v>
      </c>
      <c r="L27" s="304">
        <f t="shared" ca="1" si="0"/>
        <v>548.76316321616514</v>
      </c>
      <c r="M27" s="306">
        <f t="shared" ca="1" si="16"/>
        <v>1.3547754951907465</v>
      </c>
      <c r="N27" s="304">
        <f t="shared" ca="1" si="17"/>
        <v>77.622918062175927</v>
      </c>
      <c r="P27" s="310">
        <f t="shared" ca="1" si="18"/>
        <v>3</v>
      </c>
      <c r="Q27" s="304">
        <f t="shared" ca="1" si="19"/>
        <v>194.05172413793144</v>
      </c>
      <c r="R27" s="306">
        <f t="shared" ca="1" si="20"/>
        <v>0.10299291171600404</v>
      </c>
      <c r="S27" s="307">
        <f t="shared" ca="1" si="21"/>
        <v>2.7307806248729034</v>
      </c>
      <c r="T27" s="304">
        <f t="shared" ca="1" si="1"/>
        <v>26.788957930003185</v>
      </c>
      <c r="U27" s="311">
        <f t="shared" ca="1" si="2"/>
        <v>0</v>
      </c>
      <c r="V27" s="306">
        <f t="shared" ca="1" si="3"/>
        <v>1.1608507259933618</v>
      </c>
      <c r="W27" s="304">
        <f t="shared" ca="1" si="4"/>
        <v>80.982783779070374</v>
      </c>
      <c r="Y27" s="314" t="str">
        <f t="shared" ca="1" si="22"/>
        <v/>
      </c>
      <c r="Z27" s="315" t="str">
        <f t="shared" ca="1" si="23"/>
        <v/>
      </c>
      <c r="AA27" s="316" t="str">
        <f t="shared" ca="1" si="24"/>
        <v/>
      </c>
      <c r="AC27" s="310" t="e">
        <f t="shared" ca="1" si="25"/>
        <v>#N/A</v>
      </c>
      <c r="AD27" s="323" t="e">
        <f t="shared" ca="1" si="26"/>
        <v>#N/A</v>
      </c>
      <c r="AE27" s="324">
        <f t="shared" ca="1" si="5"/>
        <v>537.74759089279883</v>
      </c>
      <c r="AG27" s="306">
        <f t="shared" ca="1" si="27"/>
        <v>31.920274845314147</v>
      </c>
      <c r="AH27" s="304">
        <f t="shared" ca="1" si="28"/>
        <v>41.502511102566501</v>
      </c>
    </row>
    <row r="28" spans="1:34" x14ac:dyDescent="0.2">
      <c r="A28" s="347">
        <f t="shared" ca="1" si="6"/>
        <v>0.01</v>
      </c>
      <c r="B28" s="304">
        <f t="shared" ca="1" si="7"/>
        <v>3.4399999999999951</v>
      </c>
      <c r="D28" s="306">
        <f t="shared" ca="1" si="8"/>
        <v>8.8106587091244482</v>
      </c>
      <c r="E28" s="307">
        <f t="shared" ca="1" si="9"/>
        <v>30.339741965848539</v>
      </c>
      <c r="F28" s="304">
        <f t="shared" ca="1" si="10"/>
        <v>31.593158269520025</v>
      </c>
      <c r="G28" s="306">
        <f t="shared" ca="1" si="11"/>
        <v>39.650664768081882</v>
      </c>
      <c r="H28" s="307">
        <f t="shared" ca="1" si="12"/>
        <v>180.58804524407682</v>
      </c>
      <c r="I28" s="304">
        <f t="shared" ca="1" si="13"/>
        <v>184.88974363557202</v>
      </c>
      <c r="J28" s="306">
        <f t="shared" ca="1" si="14"/>
        <v>109.79687868943574</v>
      </c>
      <c r="K28" s="307">
        <f t="shared" ca="1" si="15"/>
        <v>539.5519543581413</v>
      </c>
      <c r="L28" s="304">
        <f t="shared" ca="1" si="0"/>
        <v>550.610266905397</v>
      </c>
      <c r="M28" s="306">
        <f t="shared" ca="1" si="16"/>
        <v>1.3546617668176091</v>
      </c>
      <c r="N28" s="304">
        <f t="shared" ca="1" si="17"/>
        <v>77.616401906384269</v>
      </c>
      <c r="P28" s="310">
        <f t="shared" ca="1" si="18"/>
        <v>3</v>
      </c>
      <c r="Q28" s="304">
        <f t="shared" ca="1" si="19"/>
        <v>193.18965517241423</v>
      </c>
      <c r="R28" s="306">
        <f t="shared" ca="1" si="20"/>
        <v>0.10253536879412044</v>
      </c>
      <c r="S28" s="307">
        <f t="shared" ca="1" si="21"/>
        <v>2.7297552711849624</v>
      </c>
      <c r="T28" s="304">
        <f t="shared" ca="1" si="1"/>
        <v>26.778899210324482</v>
      </c>
      <c r="U28" s="311">
        <f t="shared" ca="1" si="2"/>
        <v>0</v>
      </c>
      <c r="V28" s="306">
        <f t="shared" ca="1" si="3"/>
        <v>1.1606411332089961</v>
      </c>
      <c r="W28" s="304">
        <f t="shared" ca="1" si="4"/>
        <v>81.244967238428245</v>
      </c>
      <c r="Y28" s="314" t="str">
        <f t="shared" ca="1" si="22"/>
        <v/>
      </c>
      <c r="Z28" s="315" t="str">
        <f t="shared" ca="1" si="23"/>
        <v/>
      </c>
      <c r="AA28" s="316" t="str">
        <f t="shared" ca="1" si="24"/>
        <v/>
      </c>
      <c r="AC28" s="310" t="e">
        <f t="shared" ca="1" si="25"/>
        <v>#N/A</v>
      </c>
      <c r="AD28" s="323" t="e">
        <f t="shared" ca="1" si="26"/>
        <v>#N/A</v>
      </c>
      <c r="AE28" s="324">
        <f t="shared" ca="1" si="5"/>
        <v>539.5519543581413</v>
      </c>
      <c r="AG28" s="306">
        <f t="shared" ca="1" si="27"/>
        <v>31.523106032906099</v>
      </c>
      <c r="AH28" s="304">
        <f t="shared" ca="1" si="28"/>
        <v>41.105102929111979</v>
      </c>
    </row>
    <row r="29" spans="1:34" x14ac:dyDescent="0.2">
      <c r="A29" s="347">
        <f t="shared" ca="1" si="6"/>
        <v>0.01</v>
      </c>
      <c r="B29" s="304">
        <f t="shared" ca="1" si="7"/>
        <v>3.4499999999999948</v>
      </c>
      <c r="D29" s="306">
        <f t="shared" ca="1" si="8"/>
        <v>8.7301656130826686</v>
      </c>
      <c r="E29" s="307">
        <f t="shared" ca="1" si="9"/>
        <v>29.9513394868669</v>
      </c>
      <c r="F29" s="304">
        <f t="shared" ca="1" si="10"/>
        <v>31.197732749182325</v>
      </c>
      <c r="G29" s="306">
        <f t="shared" ca="1" si="11"/>
        <v>39.737966424212708</v>
      </c>
      <c r="H29" s="307">
        <f t="shared" ca="1" si="12"/>
        <v>180.88755863894551</v>
      </c>
      <c r="I29" s="304">
        <f t="shared" ca="1" si="13"/>
        <v>185.20101200017726</v>
      </c>
      <c r="J29" s="306">
        <f t="shared" ca="1" si="14"/>
        <v>110.19382184539721</v>
      </c>
      <c r="K29" s="307">
        <f t="shared" ca="1" si="15"/>
        <v>541.35933237755637</v>
      </c>
      <c r="L29" s="304">
        <f t="shared" ca="1" si="0"/>
        <v>552.46050096379622</v>
      </c>
      <c r="M29" s="306">
        <f t="shared" ca="1" si="16"/>
        <v>1.3545481707479152</v>
      </c>
      <c r="N29" s="304">
        <f t="shared" ca="1" si="17"/>
        <v>77.609893331021539</v>
      </c>
      <c r="P29" s="310">
        <f t="shared" ca="1" si="18"/>
        <v>3</v>
      </c>
      <c r="Q29" s="304">
        <f t="shared" ca="1" si="19"/>
        <v>192.327586206897</v>
      </c>
      <c r="R29" s="306">
        <f t="shared" ca="1" si="20"/>
        <v>0.10207782587223681</v>
      </c>
      <c r="S29" s="307">
        <f t="shared" ca="1" si="21"/>
        <v>2.72873449292624</v>
      </c>
      <c r="T29" s="304">
        <f t="shared" ca="1" si="1"/>
        <v>26.768885375606416</v>
      </c>
      <c r="U29" s="311">
        <f t="shared" ca="1" si="2"/>
        <v>0</v>
      </c>
      <c r="V29" s="306">
        <f t="shared" ca="1" si="3"/>
        <v>1.1604312271712987</v>
      </c>
      <c r="W29" s="304">
        <f t="shared" ca="1" si="4"/>
        <v>81.504012056902823</v>
      </c>
      <c r="Y29" s="314" t="str">
        <f t="shared" ca="1" si="22"/>
        <v/>
      </c>
      <c r="Z29" s="315" t="str">
        <f t="shared" ca="1" si="23"/>
        <v/>
      </c>
      <c r="AA29" s="316" t="str">
        <f t="shared" ca="1" si="24"/>
        <v/>
      </c>
      <c r="AC29" s="310" t="e">
        <f t="shared" ca="1" si="25"/>
        <v>#N/A</v>
      </c>
      <c r="AD29" s="323" t="e">
        <f t="shared" ca="1" si="26"/>
        <v>#N/A</v>
      </c>
      <c r="AE29" s="324">
        <f t="shared" ca="1" si="5"/>
        <v>541.35933237755637</v>
      </c>
      <c r="AG29" s="306">
        <f t="shared" ca="1" si="27"/>
        <v>31.126716968209156</v>
      </c>
      <c r="AH29" s="304">
        <f t="shared" ca="1" si="28"/>
        <v>40.708474663412922</v>
      </c>
    </row>
    <row r="30" spans="1:34" x14ac:dyDescent="0.2">
      <c r="A30" s="347">
        <f t="shared" ca="1" si="6"/>
        <v>0.01</v>
      </c>
      <c r="B30" s="304">
        <f t="shared" ca="1" si="7"/>
        <v>3.4599999999999946</v>
      </c>
      <c r="D30" s="306">
        <f t="shared" ca="1" si="8"/>
        <v>8.6497477646409973</v>
      </c>
      <c r="E30" s="307">
        <f t="shared" ca="1" si="9"/>
        <v>29.563724847561438</v>
      </c>
      <c r="F30" s="304">
        <f t="shared" ca="1" si="10"/>
        <v>30.803116128960614</v>
      </c>
      <c r="G30" s="306">
        <f t="shared" ca="1" si="11"/>
        <v>39.824463901859119</v>
      </c>
      <c r="H30" s="307">
        <f t="shared" ca="1" si="12"/>
        <v>181.18319588742111</v>
      </c>
      <c r="I30" s="304">
        <f t="shared" ca="1" si="13"/>
        <v>185.50832433357294</v>
      </c>
      <c r="J30" s="306">
        <f t="shared" ca="1" si="14"/>
        <v>110.59163399702757</v>
      </c>
      <c r="K30" s="307">
        <f t="shared" ca="1" si="15"/>
        <v>543.16968615018823</v>
      </c>
      <c r="L30" s="304">
        <f t="shared" ca="1" si="0"/>
        <v>554.31382579061335</v>
      </c>
      <c r="M30" s="306">
        <f t="shared" ca="1" si="16"/>
        <v>1.3544347041878215</v>
      </c>
      <c r="N30" s="304">
        <f t="shared" ca="1" si="17"/>
        <v>77.603392176012306</v>
      </c>
      <c r="P30" s="310">
        <f t="shared" ca="1" si="18"/>
        <v>3</v>
      </c>
      <c r="Q30" s="304">
        <f t="shared" ca="1" si="19"/>
        <v>191.46551724137979</v>
      </c>
      <c r="R30" s="306">
        <f t="shared" ca="1" si="20"/>
        <v>0.10162028295035321</v>
      </c>
      <c r="S30" s="307">
        <f t="shared" ca="1" si="21"/>
        <v>2.7277182900967367</v>
      </c>
      <c r="T30" s="304">
        <f t="shared" ca="1" si="1"/>
        <v>26.758916425848987</v>
      </c>
      <c r="U30" s="311">
        <f t="shared" ca="1" si="2"/>
        <v>0</v>
      </c>
      <c r="V30" s="306">
        <f t="shared" ca="1" si="3"/>
        <v>1.1602210125604357</v>
      </c>
      <c r="W30" s="304">
        <f t="shared" ca="1" si="4"/>
        <v>81.759909319960997</v>
      </c>
      <c r="Y30" s="314" t="str">
        <f t="shared" ca="1" si="22"/>
        <v/>
      </c>
      <c r="Z30" s="315" t="str">
        <f t="shared" ca="1" si="23"/>
        <v/>
      </c>
      <c r="AA30" s="316" t="str">
        <f t="shared" ca="1" si="24"/>
        <v/>
      </c>
      <c r="AC30" s="310" t="e">
        <f t="shared" ca="1" si="25"/>
        <v>#N/A</v>
      </c>
      <c r="AD30" s="323" t="e">
        <f t="shared" ca="1" si="26"/>
        <v>#N/A</v>
      </c>
      <c r="AE30" s="324">
        <f t="shared" ca="1" si="5"/>
        <v>543.16968615018823</v>
      </c>
      <c r="AG30" s="306">
        <f t="shared" ca="1" si="27"/>
        <v>30.731113921735407</v>
      </c>
      <c r="AH30" s="304">
        <f t="shared" ca="1" si="28"/>
        <v>40.31263257049072</v>
      </c>
    </row>
    <row r="31" spans="1:34" x14ac:dyDescent="0.2">
      <c r="A31" s="347">
        <f t="shared" ca="1" si="6"/>
        <v>0.01</v>
      </c>
      <c r="B31" s="304">
        <f t="shared" ca="1" si="7"/>
        <v>3.4699999999999944</v>
      </c>
      <c r="D31" s="306">
        <f t="shared" ca="1" si="8"/>
        <v>8.5694070098165867</v>
      </c>
      <c r="E31" s="307">
        <f t="shared" ca="1" si="9"/>
        <v>29.176903947403972</v>
      </c>
      <c r="F31" s="304">
        <f t="shared" ca="1" si="10"/>
        <v>30.409315356579981</v>
      </c>
      <c r="G31" s="306">
        <f t="shared" ca="1" si="11"/>
        <v>39.910157971957283</v>
      </c>
      <c r="H31" s="307">
        <f t="shared" ca="1" si="12"/>
        <v>181.47496492689515</v>
      </c>
      <c r="I31" s="304">
        <f t="shared" ca="1" si="13"/>
        <v>185.81168855743283</v>
      </c>
      <c r="J31" s="306">
        <f t="shared" ca="1" si="14"/>
        <v>110.99030710639666</v>
      </c>
      <c r="K31" s="307">
        <f t="shared" ca="1" si="15"/>
        <v>544.98297695425981</v>
      </c>
      <c r="L31" s="304">
        <f t="shared" ca="1" si="0"/>
        <v>556.17020186405125</v>
      </c>
      <c r="M31" s="306">
        <f t="shared" ca="1" si="16"/>
        <v>1.3543213643690062</v>
      </c>
      <c r="N31" s="304">
        <f t="shared" ca="1" si="17"/>
        <v>77.59689828274341</v>
      </c>
      <c r="P31" s="310">
        <f t="shared" ca="1" si="18"/>
        <v>3</v>
      </c>
      <c r="Q31" s="304">
        <f t="shared" ca="1" si="19"/>
        <v>190.60344827586255</v>
      </c>
      <c r="R31" s="306">
        <f t="shared" ca="1" si="20"/>
        <v>0.10116274002846957</v>
      </c>
      <c r="S31" s="307">
        <f t="shared" ca="1" si="21"/>
        <v>2.726706662696452</v>
      </c>
      <c r="T31" s="304">
        <f t="shared" ca="1" si="1"/>
        <v>26.748992361052196</v>
      </c>
      <c r="U31" s="311">
        <f t="shared" ca="1" si="2"/>
        <v>0</v>
      </c>
      <c r="V31" s="306">
        <f t="shared" ca="1" si="3"/>
        <v>1.1600104940444262</v>
      </c>
      <c r="W31" s="304">
        <f t="shared" ca="1" si="4"/>
        <v>82.012650452660068</v>
      </c>
      <c r="Y31" s="314" t="str">
        <f t="shared" ca="1" si="22"/>
        <v/>
      </c>
      <c r="Z31" s="315" t="str">
        <f t="shared" ca="1" si="23"/>
        <v/>
      </c>
      <c r="AA31" s="316" t="str">
        <f t="shared" ca="1" si="24"/>
        <v/>
      </c>
      <c r="AC31" s="310" t="e">
        <f t="shared" ca="1" si="25"/>
        <v>#N/A</v>
      </c>
      <c r="AD31" s="323" t="e">
        <f t="shared" ca="1" si="26"/>
        <v>#N/A</v>
      </c>
      <c r="AE31" s="324">
        <f t="shared" ca="1" si="5"/>
        <v>544.98297695425981</v>
      </c>
      <c r="AG31" s="306">
        <f t="shared" ca="1" si="27"/>
        <v>30.336303039934599</v>
      </c>
      <c r="AH31" s="304">
        <f t="shared" ca="1" si="28"/>
        <v>39.917582791346433</v>
      </c>
    </row>
    <row r="32" spans="1:34" x14ac:dyDescent="0.2">
      <c r="A32" s="347">
        <f t="shared" ca="1" si="6"/>
        <v>0.01</v>
      </c>
      <c r="B32" s="304">
        <f t="shared" ca="1" si="7"/>
        <v>3.4799999999999942</v>
      </c>
      <c r="D32" s="306">
        <f t="shared" ca="1" si="8"/>
        <v>8.4891451648992682</v>
      </c>
      <c r="E32" s="307">
        <f t="shared" ca="1" si="9"/>
        <v>28.790882565834238</v>
      </c>
      <c r="F32" s="304">
        <f t="shared" ca="1" si="10"/>
        <v>30.016337294053557</v>
      </c>
      <c r="G32" s="306">
        <f t="shared" ca="1" si="11"/>
        <v>39.995049423606275</v>
      </c>
      <c r="H32" s="307">
        <f t="shared" ca="1" si="12"/>
        <v>181.7628737525535</v>
      </c>
      <c r="I32" s="304">
        <f t="shared" ca="1" si="13"/>
        <v>186.11111265366023</v>
      </c>
      <c r="J32" s="306">
        <f t="shared" ca="1" si="14"/>
        <v>111.38983314337447</v>
      </c>
      <c r="K32" s="307">
        <f t="shared" ca="1" si="15"/>
        <v>546.79916614765705</v>
      </c>
      <c r="L32" s="304">
        <f t="shared" ca="1" si="0"/>
        <v>558.02958974187186</v>
      </c>
      <c r="M32" s="306">
        <f t="shared" ca="1" si="16"/>
        <v>1.3542081485481763</v>
      </c>
      <c r="N32" s="304">
        <f t="shared" ca="1" si="17"/>
        <v>77.590411494035735</v>
      </c>
      <c r="P32" s="310">
        <f t="shared" ca="1" si="18"/>
        <v>3</v>
      </c>
      <c r="Q32" s="304">
        <f t="shared" ca="1" si="19"/>
        <v>189.74137931034534</v>
      </c>
      <c r="R32" s="306">
        <f t="shared" ca="1" si="20"/>
        <v>0.10070519710658597</v>
      </c>
      <c r="S32" s="307">
        <f t="shared" ca="1" si="21"/>
        <v>2.7256996107253864</v>
      </c>
      <c r="T32" s="304">
        <f t="shared" ca="1" si="1"/>
        <v>26.739113181216041</v>
      </c>
      <c r="U32" s="311">
        <f t="shared" ca="1" si="2"/>
        <v>0</v>
      </c>
      <c r="V32" s="306">
        <f t="shared" ca="1" si="3"/>
        <v>1.1597996762790703</v>
      </c>
      <c r="W32" s="304">
        <f t="shared" ca="1" si="4"/>
        <v>82.262227217110819</v>
      </c>
      <c r="Y32" s="314" t="str">
        <f t="shared" ca="1" si="22"/>
        <v/>
      </c>
      <c r="Z32" s="315" t="str">
        <f t="shared" ca="1" si="23"/>
        <v/>
      </c>
      <c r="AA32" s="316" t="str">
        <f t="shared" ca="1" si="24"/>
        <v/>
      </c>
      <c r="AC32" s="310" t="e">
        <f t="shared" ca="1" si="25"/>
        <v>#N/A</v>
      </c>
      <c r="AD32" s="323" t="e">
        <f t="shared" ca="1" si="26"/>
        <v>#N/A</v>
      </c>
      <c r="AE32" s="324">
        <f t="shared" ca="1" si="5"/>
        <v>546.79916614765705</v>
      </c>
      <c r="AG32" s="306">
        <f t="shared" ca="1" si="27"/>
        <v>29.942290345784478</v>
      </c>
      <c r="AH32" s="304">
        <f t="shared" ca="1" si="28"/>
        <v>39.523331343550211</v>
      </c>
    </row>
    <row r="33" spans="1:34" x14ac:dyDescent="0.2">
      <c r="A33" s="347">
        <f t="shared" ca="1" si="6"/>
        <v>0.01</v>
      </c>
      <c r="B33" s="304">
        <f t="shared" ca="1" si="7"/>
        <v>3.489999999999994</v>
      </c>
      <c r="D33" s="306">
        <f t="shared" ca="1" si="8"/>
        <v>8.408964016594874</v>
      </c>
      <c r="E33" s="307">
        <f t="shared" ca="1" si="9"/>
        <v>28.405666362846617</v>
      </c>
      <c r="F33" s="304">
        <f t="shared" ca="1" si="10"/>
        <v>29.624188720532807</v>
      </c>
      <c r="G33" s="306">
        <f t="shared" ca="1" si="11"/>
        <v>40.079139063772224</v>
      </c>
      <c r="H33" s="307">
        <f t="shared" ca="1" si="12"/>
        <v>182.04693041618197</v>
      </c>
      <c r="I33" s="304">
        <f t="shared" ca="1" si="13"/>
        <v>186.40660466315936</v>
      </c>
      <c r="J33" s="306">
        <f t="shared" ca="1" si="14"/>
        <v>111.79020408581137</v>
      </c>
      <c r="K33" s="307">
        <f t="shared" ca="1" si="15"/>
        <v>548.61821516850068</v>
      </c>
      <c r="L33" s="304">
        <f t="shared" ca="1" si="0"/>
        <v>559.89195006199066</v>
      </c>
      <c r="M33" s="306">
        <f t="shared" ca="1" si="16"/>
        <v>1.3540950540065866</v>
      </c>
      <c r="N33" s="304">
        <f t="shared" ca="1" si="17"/>
        <v>77.583931654116682</v>
      </c>
      <c r="P33" s="310">
        <f t="shared" ca="1" si="18"/>
        <v>3</v>
      </c>
      <c r="Q33" s="304">
        <f t="shared" ca="1" si="19"/>
        <v>188.8793103448281</v>
      </c>
      <c r="R33" s="306">
        <f t="shared" ca="1" si="20"/>
        <v>0.10024765418470236</v>
      </c>
      <c r="S33" s="307">
        <f t="shared" ca="1" si="21"/>
        <v>2.7246971341835393</v>
      </c>
      <c r="T33" s="304">
        <f t="shared" ca="1" si="1"/>
        <v>26.729278886340524</v>
      </c>
      <c r="U33" s="311">
        <f t="shared" ca="1" si="2"/>
        <v>0</v>
      </c>
      <c r="V33" s="306">
        <f t="shared" ca="1" si="3"/>
        <v>1.1595885639078822</v>
      </c>
      <c r="W33" s="304">
        <f t="shared" ca="1" si="4"/>
        <v>82.508631709921858</v>
      </c>
      <c r="Y33" s="314" t="str">
        <f t="shared" ca="1" si="22"/>
        <v/>
      </c>
      <c r="Z33" s="315" t="str">
        <f t="shared" ca="1" si="23"/>
        <v/>
      </c>
      <c r="AA33" s="316" t="str">
        <f t="shared" ca="1" si="24"/>
        <v/>
      </c>
      <c r="AC33" s="310" t="e">
        <f t="shared" ca="1" si="25"/>
        <v>#N/A</v>
      </c>
      <c r="AD33" s="323" t="e">
        <f t="shared" ca="1" si="26"/>
        <v>#N/A</v>
      </c>
      <c r="AE33" s="324">
        <f t="shared" ca="1" si="5"/>
        <v>548.61821516850068</v>
      </c>
      <c r="AG33" s="306">
        <f t="shared" ca="1" si="27"/>
        <v>29.549081739392456</v>
      </c>
      <c r="AH33" s="304">
        <f t="shared" ca="1" si="28"/>
        <v>39.129884121842146</v>
      </c>
    </row>
    <row r="34" spans="1:34" x14ac:dyDescent="0.2">
      <c r="A34" s="347">
        <f t="shared" ca="1" si="6"/>
        <v>0.01</v>
      </c>
      <c r="B34" s="304">
        <f t="shared" ca="1" si="7"/>
        <v>3.4999999999999938</v>
      </c>
      <c r="D34" s="306">
        <f t="shared" ca="1" si="8"/>
        <v>8.3288653221701079</v>
      </c>
      <c r="E34" s="307">
        <f t="shared" ca="1" si="9"/>
        <v>28.021260879587999</v>
      </c>
      <c r="F34" s="304">
        <f t="shared" ca="1" si="10"/>
        <v>29.232876335331365</v>
      </c>
      <c r="G34" s="306">
        <f t="shared" ca="1" si="11"/>
        <v>40.162427716993925</v>
      </c>
      <c r="H34" s="307">
        <f t="shared" ca="1" si="12"/>
        <v>182.32714302497786</v>
      </c>
      <c r="I34" s="304">
        <f t="shared" ca="1" si="13"/>
        <v>186.69817268461279</v>
      </c>
      <c r="J34" s="306">
        <f t="shared" ca="1" si="14"/>
        <v>112.19141191971519</v>
      </c>
      <c r="K34" s="307">
        <f t="shared" ca="1" si="15"/>
        <v>550.44008553570643</v>
      </c>
      <c r="L34" s="304">
        <f t="shared" ca="1" si="0"/>
        <v>561.75724354305839</v>
      </c>
      <c r="M34" s="306">
        <f t="shared" ca="1" si="16"/>
        <v>1.3539820780495644</v>
      </c>
      <c r="N34" s="304">
        <f t="shared" ca="1" si="17"/>
        <v>77.577458608592863</v>
      </c>
      <c r="P34" s="310">
        <f t="shared" ca="1" si="18"/>
        <v>3</v>
      </c>
      <c r="Q34" s="304">
        <f t="shared" ca="1" si="19"/>
        <v>188.01724137931089</v>
      </c>
      <c r="R34" s="306">
        <f t="shared" ca="1" si="20"/>
        <v>9.979011126281874E-2</v>
      </c>
      <c r="S34" s="307">
        <f t="shared" ca="1" si="21"/>
        <v>2.7236992330709113</v>
      </c>
      <c r="T34" s="304">
        <f t="shared" ca="1" si="1"/>
        <v>26.719489476425643</v>
      </c>
      <c r="U34" s="311">
        <f t="shared" ca="1" si="2"/>
        <v>0</v>
      </c>
      <c r="V34" s="306">
        <f t="shared" ca="1" si="3"/>
        <v>1.159377161562021</v>
      </c>
      <c r="W34" s="304">
        <f t="shared" ca="1" si="4"/>
        <v>82.751856359626345</v>
      </c>
      <c r="Y34" s="314" t="str">
        <f t="shared" ca="1" si="22"/>
        <v/>
      </c>
      <c r="Z34" s="315" t="str">
        <f t="shared" ca="1" si="23"/>
        <v/>
      </c>
      <c r="AA34" s="316" t="str">
        <f t="shared" ca="1" si="24"/>
        <v/>
      </c>
      <c r="AC34" s="310" t="e">
        <f t="shared" ca="1" si="25"/>
        <v>#N/A</v>
      </c>
      <c r="AD34" s="323" t="e">
        <f t="shared" ca="1" si="26"/>
        <v>#N/A</v>
      </c>
      <c r="AE34" s="324">
        <f t="shared" ca="1" si="5"/>
        <v>550.44008553570643</v>
      </c>
      <c r="AG34" s="306">
        <f t="shared" ca="1" si="27"/>
        <v>29.156682998608765</v>
      </c>
      <c r="AH34" s="304">
        <f t="shared" ca="1" si="28"/>
        <v>38.737246898744537</v>
      </c>
    </row>
    <row r="35" spans="1:34" x14ac:dyDescent="0.2">
      <c r="A35" s="347">
        <f t="shared" ca="1" si="6"/>
        <v>0.01</v>
      </c>
      <c r="B35" s="304">
        <f t="shared" ca="1" si="7"/>
        <v>3.5099999999999936</v>
      </c>
      <c r="D35" s="306">
        <f t="shared" ca="1" si="8"/>
        <v>8.2488508095990305</v>
      </c>
      <c r="E35" s="307">
        <f t="shared" ca="1" si="9"/>
        <v>27.637671538966345</v>
      </c>
      <c r="F35" s="304">
        <f t="shared" ca="1" si="10"/>
        <v>28.842406761135813</v>
      </c>
      <c r="G35" s="306">
        <f t="shared" ca="1" si="11"/>
        <v>40.244916225089916</v>
      </c>
      <c r="H35" s="307">
        <f t="shared" ca="1" si="12"/>
        <v>182.60351974036752</v>
      </c>
      <c r="I35" s="304">
        <f t="shared" ca="1" si="13"/>
        <v>186.9858248732649</v>
      </c>
      <c r="J35" s="306">
        <f t="shared" ca="1" si="14"/>
        <v>112.59344863942562</v>
      </c>
      <c r="K35" s="307">
        <f t="shared" ca="1" si="15"/>
        <v>552.26473884953316</v>
      </c>
      <c r="L35" s="304">
        <f t="shared" ca="1" si="0"/>
        <v>563.62543098503113</v>
      </c>
      <c r="M35" s="306">
        <f t="shared" ca="1" si="16"/>
        <v>1.3538692180060468</v>
      </c>
      <c r="N35" s="304">
        <f t="shared" ca="1" si="17"/>
        <v>77.570992204423632</v>
      </c>
      <c r="P35" s="310">
        <f t="shared" ca="1" si="18"/>
        <v>3</v>
      </c>
      <c r="Q35" s="304">
        <f t="shared" ca="1" si="19"/>
        <v>187.15517241379365</v>
      </c>
      <c r="R35" s="306">
        <f t="shared" ca="1" si="20"/>
        <v>9.9332568340935123E-2</v>
      </c>
      <c r="S35" s="307">
        <f t="shared" ca="1" si="21"/>
        <v>2.722705907387502</v>
      </c>
      <c r="T35" s="304">
        <f t="shared" ca="1" si="1"/>
        <v>26.709744951471396</v>
      </c>
      <c r="U35" s="311">
        <f t="shared" ca="1" si="2"/>
        <v>0</v>
      </c>
      <c r="V35" s="306">
        <f t="shared" ca="1" si="3"/>
        <v>1.1591654738602257</v>
      </c>
      <c r="W35" s="304">
        <f t="shared" ca="1" si="4"/>
        <v>82.991893924091499</v>
      </c>
      <c r="Y35" s="314" t="str">
        <f t="shared" ca="1" si="22"/>
        <v/>
      </c>
      <c r="Z35" s="315" t="str">
        <f t="shared" ca="1" si="23"/>
        <v/>
      </c>
      <c r="AA35" s="316" t="str">
        <f t="shared" ca="1" si="24"/>
        <v/>
      </c>
      <c r="AC35" s="310" t="e">
        <f t="shared" ca="1" si="25"/>
        <v>#N/A</v>
      </c>
      <c r="AD35" s="323" t="e">
        <f t="shared" ca="1" si="26"/>
        <v>#N/A</v>
      </c>
      <c r="AE35" s="324">
        <f t="shared" ca="1" si="5"/>
        <v>552.26473884953316</v>
      </c>
      <c r="AG35" s="306">
        <f t="shared" ca="1" si="27"/>
        <v>28.765099779650285</v>
      </c>
      <c r="AH35" s="304">
        <f t="shared" ca="1" si="28"/>
        <v>38.34542532518492</v>
      </c>
    </row>
    <row r="36" spans="1:34" x14ac:dyDescent="0.2">
      <c r="A36" s="347">
        <f t="shared" ca="1" si="6"/>
        <v>0.01</v>
      </c>
      <c r="B36" s="304">
        <f t="shared" ca="1" si="7"/>
        <v>3.5199999999999934</v>
      </c>
      <c r="D36" s="306">
        <f t="shared" ca="1" si="8"/>
        <v>8.1689221777109662</v>
      </c>
      <c r="E36" s="307">
        <f t="shared" ca="1" si="9"/>
        <v>27.254903646270115</v>
      </c>
      <c r="F36" s="304">
        <f t="shared" ca="1" si="10"/>
        <v>28.452786547418622</v>
      </c>
      <c r="G36" s="306">
        <f t="shared" ca="1" si="11"/>
        <v>40.326605446867028</v>
      </c>
      <c r="H36" s="307">
        <f t="shared" ca="1" si="12"/>
        <v>182.87606877683021</v>
      </c>
      <c r="I36" s="304">
        <f t="shared" ca="1" si="13"/>
        <v>187.26956943971228</v>
      </c>
      <c r="J36" s="306">
        <f t="shared" ca="1" si="14"/>
        <v>112.9963062477854</v>
      </c>
      <c r="K36" s="307">
        <f t="shared" ca="1" si="15"/>
        <v>554.09213679211916</v>
      </c>
      <c r="L36" s="304">
        <f t="shared" ca="1" si="0"/>
        <v>565.49647326972763</v>
      </c>
      <c r="M36" s="306">
        <f t="shared" ca="1" si="16"/>
        <v>1.3537564712281231</v>
      </c>
      <c r="N36" s="304">
        <f t="shared" ca="1" si="17"/>
        <v>77.564532289894913</v>
      </c>
      <c r="P36" s="310">
        <f t="shared" ca="1" si="18"/>
        <v>3</v>
      </c>
      <c r="Q36" s="304">
        <f t="shared" ca="1" si="19"/>
        <v>186.29310344827644</v>
      </c>
      <c r="R36" s="306">
        <f t="shared" ca="1" si="20"/>
        <v>9.8875025419051507E-2</v>
      </c>
      <c r="S36" s="307">
        <f t="shared" ca="1" si="21"/>
        <v>2.7217171571333116</v>
      </c>
      <c r="T36" s="304">
        <f t="shared" ca="1" si="1"/>
        <v>26.700045311477787</v>
      </c>
      <c r="U36" s="311">
        <f t="shared" ca="1" si="2"/>
        <v>0</v>
      </c>
      <c r="V36" s="306">
        <f t="shared" ca="1" si="3"/>
        <v>1.1589535054087503</v>
      </c>
      <c r="W36" s="304">
        <f t="shared" ca="1" si="4"/>
        <v>83.228737487912099</v>
      </c>
      <c r="Y36" s="314" t="str">
        <f t="shared" ca="1" si="22"/>
        <v/>
      </c>
      <c r="Z36" s="315" t="str">
        <f t="shared" ca="1" si="23"/>
        <v/>
      </c>
      <c r="AA36" s="316" t="str">
        <f t="shared" ca="1" si="24"/>
        <v/>
      </c>
      <c r="AC36" s="310" t="e">
        <f t="shared" ca="1" si="25"/>
        <v>#N/A</v>
      </c>
      <c r="AD36" s="323" t="e">
        <f t="shared" ca="1" si="26"/>
        <v>#N/A</v>
      </c>
      <c r="AE36" s="324">
        <f t="shared" ca="1" si="5"/>
        <v>554.09213679211916</v>
      </c>
      <c r="AG36" s="306">
        <f t="shared" ca="1" si="27"/>
        <v>28.374337617735357</v>
      </c>
      <c r="AH36" s="304">
        <f t="shared" ca="1" si="28"/>
        <v>37.954424931130042</v>
      </c>
    </row>
    <row r="37" spans="1:34" x14ac:dyDescent="0.2">
      <c r="A37" s="347">
        <f t="shared" ca="1" si="6"/>
        <v>0.01</v>
      </c>
      <c r="B37" s="304">
        <f t="shared" ca="1" si="7"/>
        <v>3.5299999999999931</v>
      </c>
      <c r="D37" s="306">
        <f t="shared" ca="1" si="8"/>
        <v>8.0890810963399975</v>
      </c>
      <c r="E37" s="307">
        <f t="shared" ca="1" si="9"/>
        <v>26.872962389797607</v>
      </c>
      <c r="F37" s="304">
        <f t="shared" ca="1" si="10"/>
        <v>28.064022174069095</v>
      </c>
      <c r="G37" s="306">
        <f t="shared" ca="1" si="11"/>
        <v>40.407496257830431</v>
      </c>
      <c r="H37" s="307">
        <f t="shared" ca="1" si="12"/>
        <v>183.14479840072818</v>
      </c>
      <c r="I37" s="304">
        <f t="shared" ca="1" si="13"/>
        <v>187.54941464869984</v>
      </c>
      <c r="J37" s="306">
        <f t="shared" ca="1" si="14"/>
        <v>113.39997675630889</v>
      </c>
      <c r="K37" s="307">
        <f t="shared" ca="1" si="15"/>
        <v>555.92224112800693</v>
      </c>
      <c r="L37" s="304">
        <f t="shared" ca="1" si="0"/>
        <v>567.37033136137575</v>
      </c>
      <c r="M37" s="306">
        <f t="shared" ca="1" si="16"/>
        <v>1.3536438350905882</v>
      </c>
      <c r="N37" s="304">
        <f t="shared" ca="1" si="17"/>
        <v>77.558078714593506</v>
      </c>
      <c r="P37" s="310">
        <f t="shared" ca="1" si="18"/>
        <v>3</v>
      </c>
      <c r="Q37" s="304">
        <f t="shared" ca="1" si="19"/>
        <v>185.43103448275923</v>
      </c>
      <c r="R37" s="306">
        <f t="shared" ca="1" si="20"/>
        <v>9.8417482497167905E-2</v>
      </c>
      <c r="S37" s="307">
        <f t="shared" ca="1" si="21"/>
        <v>2.7207329823083399</v>
      </c>
      <c r="T37" s="304">
        <f t="shared" ca="1" si="1"/>
        <v>26.690390556444815</v>
      </c>
      <c r="U37" s="311">
        <f t="shared" ca="1" si="2"/>
        <v>0</v>
      </c>
      <c r="V37" s="306">
        <f t="shared" ca="1" si="3"/>
        <v>1.1587412608013021</v>
      </c>
      <c r="W37" s="304">
        <f t="shared" ca="1" si="4"/>
        <v>83.462380459788406</v>
      </c>
      <c r="Y37" s="314" t="str">
        <f t="shared" ca="1" si="22"/>
        <v/>
      </c>
      <c r="Z37" s="315" t="str">
        <f t="shared" ca="1" si="23"/>
        <v/>
      </c>
      <c r="AA37" s="316" t="str">
        <f t="shared" ca="1" si="24"/>
        <v/>
      </c>
      <c r="AC37" s="310" t="e">
        <f t="shared" ca="1" si="25"/>
        <v>#N/A</v>
      </c>
      <c r="AD37" s="323" t="e">
        <f t="shared" ca="1" si="26"/>
        <v>#N/A</v>
      </c>
      <c r="AE37" s="324">
        <f t="shared" ca="1" si="5"/>
        <v>555.92224112800693</v>
      </c>
      <c r="AG37" s="306">
        <f t="shared" ca="1" si="27"/>
        <v>27.984401927728726</v>
      </c>
      <c r="AH37" s="304">
        <f t="shared" ca="1" si="28"/>
        <v>37.564251126229991</v>
      </c>
    </row>
    <row r="38" spans="1:34" x14ac:dyDescent="0.2">
      <c r="A38" s="347">
        <f t="shared" ca="1" si="6"/>
        <v>0.01</v>
      </c>
      <c r="B38" s="304">
        <f t="shared" ca="1" si="7"/>
        <v>3.5399999999999929</v>
      </c>
      <c r="D38" s="306">
        <f t="shared" ca="1" si="8"/>
        <v>8.0093292064758579</v>
      </c>
      <c r="E38" s="307">
        <f t="shared" ca="1" si="9"/>
        <v>26.491852841496595</v>
      </c>
      <c r="F38" s="304">
        <f t="shared" ca="1" si="10"/>
        <v>27.67612005526097</v>
      </c>
      <c r="G38" s="306">
        <f t="shared" ca="1" si="11"/>
        <v>40.487589549895191</v>
      </c>
      <c r="H38" s="307">
        <f t="shared" ca="1" si="12"/>
        <v>183.40971692914314</v>
      </c>
      <c r="I38" s="304">
        <f t="shared" ca="1" si="13"/>
        <v>187.82536881792404</v>
      </c>
      <c r="J38" s="306">
        <f t="shared" ca="1" si="14"/>
        <v>113.80445218534751</v>
      </c>
      <c r="K38" s="307">
        <f t="shared" ca="1" si="15"/>
        <v>557.75501370465633</v>
      </c>
      <c r="L38" s="304">
        <f t="shared" ca="1" si="0"/>
        <v>569.2469663071455</v>
      </c>
      <c r="M38" s="306">
        <f t="shared" ca="1" si="16"/>
        <v>1.3535313069905026</v>
      </c>
      <c r="N38" s="304">
        <f t="shared" ca="1" si="17"/>
        <v>77.551631329381976</v>
      </c>
      <c r="P38" s="310">
        <f t="shared" ca="1" si="18"/>
        <v>3</v>
      </c>
      <c r="Q38" s="304">
        <f t="shared" ca="1" si="19"/>
        <v>184.56896551724199</v>
      </c>
      <c r="R38" s="306">
        <f t="shared" ca="1" si="20"/>
        <v>9.7959939575284288E-2</v>
      </c>
      <c r="S38" s="307">
        <f t="shared" ca="1" si="21"/>
        <v>2.7197533829125873</v>
      </c>
      <c r="T38" s="304">
        <f t="shared" ca="1" si="1"/>
        <v>26.680780686372483</v>
      </c>
      <c r="U38" s="311">
        <f t="shared" ca="1" si="2"/>
        <v>0</v>
      </c>
      <c r="V38" s="306">
        <f t="shared" ca="1" si="3"/>
        <v>1.15852874461898</v>
      </c>
      <c r="W38" s="304">
        <f t="shared" ca="1" si="4"/>
        <v>83.692816569889686</v>
      </c>
      <c r="Y38" s="314" t="str">
        <f t="shared" ca="1" si="22"/>
        <v/>
      </c>
      <c r="Z38" s="315" t="str">
        <f t="shared" ca="1" si="23"/>
        <v/>
      </c>
      <c r="AA38" s="316" t="str">
        <f t="shared" ca="1" si="24"/>
        <v/>
      </c>
      <c r="AC38" s="310" t="e">
        <f t="shared" ca="1" si="25"/>
        <v>#N/A</v>
      </c>
      <c r="AD38" s="323" t="e">
        <f t="shared" ca="1" si="26"/>
        <v>#N/A</v>
      </c>
      <c r="AE38" s="324">
        <f t="shared" ca="1" si="5"/>
        <v>557.75501370465633</v>
      </c>
      <c r="AG38" s="306">
        <f t="shared" ca="1" si="27"/>
        <v>27.595298004796707</v>
      </c>
      <c r="AH38" s="304">
        <f t="shared" ca="1" si="28"/>
        <v>37.174909200472591</v>
      </c>
    </row>
    <row r="39" spans="1:34" x14ac:dyDescent="0.2">
      <c r="A39" s="347">
        <f t="shared" ca="1" si="6"/>
        <v>0.01</v>
      </c>
      <c r="B39" s="304">
        <f t="shared" ca="1" si="7"/>
        <v>3.5499999999999927</v>
      </c>
      <c r="D39" s="306">
        <f t="shared" ca="1" si="8"/>
        <v>7.9296681204162516</v>
      </c>
      <c r="E39" s="307">
        <f t="shared" ca="1" si="9"/>
        <v>26.111579957613472</v>
      </c>
      <c r="F39" s="304">
        <f t="shared" ca="1" si="10"/>
        <v>27.289086543576122</v>
      </c>
      <c r="G39" s="306">
        <f t="shared" ca="1" si="11"/>
        <v>40.566886231099353</v>
      </c>
      <c r="H39" s="307">
        <f t="shared" ca="1" si="12"/>
        <v>183.67083272871929</v>
      </c>
      <c r="I39" s="304">
        <f t="shared" ca="1" si="13"/>
        <v>188.09744031684252</v>
      </c>
      <c r="J39" s="306">
        <f t="shared" ca="1" si="14"/>
        <v>114.20972456425248</v>
      </c>
      <c r="K39" s="307">
        <f t="shared" ca="1" si="15"/>
        <v>559.59041645294565</v>
      </c>
      <c r="L39" s="304">
        <f t="shared" ca="1" si="0"/>
        <v>571.12633923767135</v>
      </c>
      <c r="M39" s="306">
        <f t="shared" ca="1" si="16"/>
        <v>1.3534188843467603</v>
      </c>
      <c r="N39" s="304">
        <f t="shared" ca="1" si="17"/>
        <v>77.545189986373842</v>
      </c>
      <c r="P39" s="310">
        <f t="shared" ca="1" si="18"/>
        <v>3</v>
      </c>
      <c r="Q39" s="304">
        <f t="shared" ca="1" si="19"/>
        <v>183.70689655172475</v>
      </c>
      <c r="R39" s="306">
        <f t="shared" ca="1" si="20"/>
        <v>9.7502396653400658E-2</v>
      </c>
      <c r="S39" s="307">
        <f t="shared" ca="1" si="21"/>
        <v>2.7187783589460532</v>
      </c>
      <c r="T39" s="304">
        <f t="shared" ca="1" si="1"/>
        <v>26.671215701260785</v>
      </c>
      <c r="U39" s="311">
        <f t="shared" ca="1" si="2"/>
        <v>0</v>
      </c>
      <c r="V39" s="306">
        <f t="shared" ca="1" si="3"/>
        <v>1.1583159614302156</v>
      </c>
      <c r="W39" s="304">
        <f t="shared" ca="1" si="4"/>
        <v>83.92003986720367</v>
      </c>
      <c r="Y39" s="314" t="str">
        <f t="shared" ca="1" si="22"/>
        <v/>
      </c>
      <c r="Z39" s="315" t="str">
        <f t="shared" ca="1" si="23"/>
        <v/>
      </c>
      <c r="AA39" s="316" t="str">
        <f t="shared" ca="1" si="24"/>
        <v/>
      </c>
      <c r="AC39" s="310" t="e">
        <f t="shared" ca="1" si="25"/>
        <v>#N/A</v>
      </c>
      <c r="AD39" s="323" t="e">
        <f t="shared" ca="1" si="26"/>
        <v>#N/A</v>
      </c>
      <c r="AE39" s="324">
        <f t="shared" ca="1" si="5"/>
        <v>559.59041645294565</v>
      </c>
      <c r="AG39" s="306">
        <f t="shared" ca="1" si="27"/>
        <v>27.207031025072137</v>
      </c>
      <c r="AH39" s="304">
        <f t="shared" ca="1" si="28"/>
        <v>36.786404324847567</v>
      </c>
    </row>
    <row r="40" spans="1:34" x14ac:dyDescent="0.2">
      <c r="A40" s="347">
        <f t="shared" ca="1" si="6"/>
        <v>0.01</v>
      </c>
      <c r="B40" s="304">
        <f t="shared" ca="1" si="7"/>
        <v>3.5599999999999925</v>
      </c>
      <c r="D40" s="306">
        <f t="shared" ca="1" si="8"/>
        <v>7.8500994219206266</v>
      </c>
      <c r="E40" s="307">
        <f t="shared" ca="1" si="9"/>
        <v>25.732148579351907</v>
      </c>
      <c r="F40" s="304">
        <f t="shared" ca="1" si="10"/>
        <v>26.902927934406708</v>
      </c>
      <c r="G40" s="306">
        <f t="shared" ca="1" si="11"/>
        <v>40.645387225318558</v>
      </c>
      <c r="H40" s="307">
        <f t="shared" ca="1" si="12"/>
        <v>183.9281542145128</v>
      </c>
      <c r="I40" s="304">
        <f t="shared" ca="1" si="13"/>
        <v>188.3656375654904</v>
      </c>
      <c r="J40" s="306">
        <f t="shared" ca="1" si="14"/>
        <v>114.61578593153457</v>
      </c>
      <c r="K40" s="307">
        <f t="shared" ca="1" si="15"/>
        <v>561.42841138766175</v>
      </c>
      <c r="L40" s="304">
        <f t="shared" ca="1" si="0"/>
        <v>573.00841136756185</v>
      </c>
      <c r="M40" s="306">
        <f t="shared" ca="1" si="16"/>
        <v>1.3533065645996665</v>
      </c>
      <c r="N40" s="304">
        <f t="shared" ca="1" si="17"/>
        <v>77.538754538909387</v>
      </c>
      <c r="P40" s="310">
        <f t="shared" ca="1" si="18"/>
        <v>3</v>
      </c>
      <c r="Q40" s="304">
        <f t="shared" ca="1" si="19"/>
        <v>182.84482758620754</v>
      </c>
      <c r="R40" s="306">
        <f t="shared" ca="1" si="20"/>
        <v>9.7044853731517056E-2</v>
      </c>
      <c r="S40" s="307">
        <f t="shared" ca="1" si="21"/>
        <v>2.7178079104087383</v>
      </c>
      <c r="T40" s="304">
        <f t="shared" ca="1" si="1"/>
        <v>26.661695601109724</v>
      </c>
      <c r="U40" s="311">
        <f t="shared" ca="1" si="2"/>
        <v>0</v>
      </c>
      <c r="V40" s="306">
        <f t="shared" ca="1" si="3"/>
        <v>1.1581029157907159</v>
      </c>
      <c r="W40" s="304">
        <f t="shared" ca="1" si="4"/>
        <v>84.144044716872884</v>
      </c>
      <c r="Y40" s="314" t="str">
        <f t="shared" ca="1" si="22"/>
        <v/>
      </c>
      <c r="Z40" s="315" t="str">
        <f t="shared" ca="1" si="23"/>
        <v/>
      </c>
      <c r="AA40" s="316" t="str">
        <f t="shared" ca="1" si="24"/>
        <v/>
      </c>
      <c r="AC40" s="310" t="e">
        <f t="shared" ca="1" si="25"/>
        <v>#N/A</v>
      </c>
      <c r="AD40" s="323" t="e">
        <f t="shared" ca="1" si="26"/>
        <v>#N/A</v>
      </c>
      <c r="AE40" s="324">
        <f t="shared" ca="1" si="5"/>
        <v>561.42841138766175</v>
      </c>
      <c r="AG40" s="306">
        <f t="shared" ca="1" si="27"/>
        <v>26.81960604632885</v>
      </c>
      <c r="AH40" s="304">
        <f t="shared" ca="1" si="28"/>
        <v>36.398741552020255</v>
      </c>
    </row>
    <row r="41" spans="1:34" x14ac:dyDescent="0.2">
      <c r="A41" s="347">
        <f t="shared" ca="1" si="6"/>
        <v>0.01</v>
      </c>
      <c r="B41" s="304">
        <f t="shared" ca="1" si="7"/>
        <v>3.5699999999999923</v>
      </c>
      <c r="D41" s="306">
        <f t="shared" ca="1" si="8"/>
        <v>7.7706246663651788</v>
      </c>
      <c r="E41" s="307">
        <f t="shared" ca="1" si="9"/>
        <v>25.353563433540657</v>
      </c>
      <c r="F41" s="304">
        <f t="shared" ca="1" si="10"/>
        <v>26.517650470659966</v>
      </c>
      <c r="G41" s="306">
        <f t="shared" ca="1" si="11"/>
        <v>40.72309347198221</v>
      </c>
      <c r="H41" s="307">
        <f t="shared" ca="1" si="12"/>
        <v>184.18168984884821</v>
      </c>
      <c r="I41" s="304">
        <f t="shared" ca="1" si="13"/>
        <v>188.62996903330372</v>
      </c>
      <c r="J41" s="306">
        <f t="shared" ca="1" si="14"/>
        <v>115.02262833502108</v>
      </c>
      <c r="K41" s="307">
        <f t="shared" ca="1" si="15"/>
        <v>563.26896060797856</v>
      </c>
      <c r="L41" s="304">
        <f t="shared" ca="1" si="0"/>
        <v>574.89314399589853</v>
      </c>
      <c r="M41" s="306">
        <f t="shared" ca="1" si="16"/>
        <v>1.3531943452105191</v>
      </c>
      <c r="N41" s="304">
        <f t="shared" ca="1" si="17"/>
        <v>77.532324841531704</v>
      </c>
      <c r="P41" s="310">
        <f t="shared" ca="1" si="18"/>
        <v>3</v>
      </c>
      <c r="Q41" s="304">
        <f t="shared" ca="1" si="19"/>
        <v>181.98275862069033</v>
      </c>
      <c r="R41" s="306">
        <f t="shared" ca="1" si="20"/>
        <v>9.6587310809633439E-2</v>
      </c>
      <c r="S41" s="307">
        <f t="shared" ca="1" si="21"/>
        <v>2.7168420373006419</v>
      </c>
      <c r="T41" s="304">
        <f t="shared" ca="1" si="1"/>
        <v>26.6522203859193</v>
      </c>
      <c r="U41" s="311">
        <f t="shared" ca="1" si="2"/>
        <v>0</v>
      </c>
      <c r="V41" s="306">
        <f t="shared" ca="1" si="3"/>
        <v>1.1578896122434053</v>
      </c>
      <c r="W41" s="304">
        <f t="shared" ca="1" si="4"/>
        <v>84.36482579751879</v>
      </c>
      <c r="Y41" s="314" t="str">
        <f t="shared" ca="1" si="22"/>
        <v/>
      </c>
      <c r="Z41" s="315" t="str">
        <f t="shared" ca="1" si="23"/>
        <v/>
      </c>
      <c r="AA41" s="316" t="str">
        <f t="shared" ca="1" si="24"/>
        <v/>
      </c>
      <c r="AC41" s="310" t="e">
        <f t="shared" ca="1" si="25"/>
        <v>#N/A</v>
      </c>
      <c r="AD41" s="323" t="e">
        <f t="shared" ca="1" si="26"/>
        <v>#N/A</v>
      </c>
      <c r="AE41" s="324">
        <f t="shared" ca="1" si="5"/>
        <v>563.26896060797856</v>
      </c>
      <c r="AG41" s="306">
        <f t="shared" ca="1" si="27"/>
        <v>26.433028008665396</v>
      </c>
      <c r="AH41" s="304">
        <f t="shared" ca="1" si="28"/>
        <v>36.011925817014571</v>
      </c>
    </row>
    <row r="42" spans="1:34" x14ac:dyDescent="0.2">
      <c r="A42" s="347">
        <f t="shared" ca="1" si="6"/>
        <v>0.01</v>
      </c>
      <c r="B42" s="304">
        <f t="shared" ca="1" si="7"/>
        <v>3.5799999999999921</v>
      </c>
      <c r="D42" s="306">
        <f t="shared" ca="1" si="8"/>
        <v>7.6912453808993613</v>
      </c>
      <c r="E42" s="307">
        <f t="shared" ca="1" si="9"/>
        <v>24.975829133310178</v>
      </c>
      <c r="F42" s="304">
        <f t="shared" ca="1" si="10"/>
        <v>26.133260347792643</v>
      </c>
      <c r="G42" s="306">
        <f t="shared" ca="1" si="11"/>
        <v>40.800005925791204</v>
      </c>
      <c r="H42" s="307">
        <f t="shared" ca="1" si="12"/>
        <v>184.43144814018132</v>
      </c>
      <c r="I42" s="304">
        <f t="shared" ca="1" si="13"/>
        <v>188.89044323794943</v>
      </c>
      <c r="J42" s="306">
        <f t="shared" ca="1" si="14"/>
        <v>115.43024383200995</v>
      </c>
      <c r="K42" s="307">
        <f t="shared" ca="1" si="15"/>
        <v>565.11202629792365</v>
      </c>
      <c r="L42" s="304">
        <f t="shared" ca="1" si="0"/>
        <v>576.78049850672176</v>
      </c>
      <c r="M42" s="306">
        <f t="shared" ca="1" si="16"/>
        <v>1.3530822236612019</v>
      </c>
      <c r="N42" s="304">
        <f t="shared" ca="1" si="17"/>
        <v>77.52590074996337</v>
      </c>
      <c r="P42" s="310">
        <f t="shared" ca="1" si="18"/>
        <v>3</v>
      </c>
      <c r="Q42" s="304">
        <f t="shared" ca="1" si="19"/>
        <v>181.12068965517309</v>
      </c>
      <c r="R42" s="306">
        <f t="shared" ca="1" si="20"/>
        <v>9.6129767887749823E-2</v>
      </c>
      <c r="S42" s="307">
        <f t="shared" ca="1" si="21"/>
        <v>2.7158807396217646</v>
      </c>
      <c r="T42" s="304">
        <f t="shared" ca="1" si="1"/>
        <v>26.642790055689513</v>
      </c>
      <c r="U42" s="311">
        <f t="shared" ca="1" si="2"/>
        <v>0</v>
      </c>
      <c r="V42" s="306">
        <f t="shared" ca="1" si="3"/>
        <v>1.1576760553183745</v>
      </c>
      <c r="W42" s="304">
        <f t="shared" ca="1" si="4"/>
        <v>84.582378098554429</v>
      </c>
      <c r="Y42" s="314" t="str">
        <f t="shared" ca="1" si="22"/>
        <v/>
      </c>
      <c r="Z42" s="315" t="str">
        <f t="shared" ca="1" si="23"/>
        <v/>
      </c>
      <c r="AA42" s="316" t="str">
        <f t="shared" ca="1" si="24"/>
        <v/>
      </c>
      <c r="AC42" s="310" t="e">
        <f t="shared" ca="1" si="25"/>
        <v>#N/A</v>
      </c>
      <c r="AD42" s="323" t="e">
        <f t="shared" ca="1" si="26"/>
        <v>#N/A</v>
      </c>
      <c r="AE42" s="324">
        <f t="shared" ca="1" si="5"/>
        <v>565.11202629792365</v>
      </c>
      <c r="AG42" s="306">
        <f t="shared" ca="1" si="27"/>
        <v>26.047301735197799</v>
      </c>
      <c r="AH42" s="304">
        <f t="shared" ca="1" si="28"/>
        <v>35.625961937905018</v>
      </c>
    </row>
    <row r="43" spans="1:34" x14ac:dyDescent="0.2">
      <c r="A43" s="347">
        <f t="shared" ca="1" si="6"/>
        <v>0.01</v>
      </c>
      <c r="B43" s="304">
        <f t="shared" ca="1" si="7"/>
        <v>3.5899999999999919</v>
      </c>
      <c r="D43" s="306">
        <f t="shared" ca="1" si="8"/>
        <v>7.6119630646034873</v>
      </c>
      <c r="E43" s="307">
        <f t="shared" ca="1" si="9"/>
        <v>24.598950178777912</v>
      </c>
      <c r="F43" s="304">
        <f t="shared" ca="1" si="10"/>
        <v>25.749763719204989</v>
      </c>
      <c r="G43" s="306">
        <f t="shared" ca="1" si="11"/>
        <v>40.876125556437238</v>
      </c>
      <c r="H43" s="307">
        <f t="shared" ca="1" si="12"/>
        <v>184.67743764196911</v>
      </c>
      <c r="I43" s="304">
        <f t="shared" ca="1" si="13"/>
        <v>189.14706874416271</v>
      </c>
      <c r="J43" s="306">
        <f t="shared" ca="1" si="14"/>
        <v>115.83862448942109</v>
      </c>
      <c r="K43" s="307">
        <f t="shared" ca="1" si="15"/>
        <v>566.95757072683443</v>
      </c>
      <c r="L43" s="304">
        <f t="shared" ca="1" si="0"/>
        <v>578.67043636950609</v>
      </c>
      <c r="M43" s="306">
        <f t="shared" ca="1" si="16"/>
        <v>1.3529701974537818</v>
      </c>
      <c r="N43" s="304">
        <f t="shared" ca="1" si="17"/>
        <v>77.519482121083328</v>
      </c>
      <c r="P43" s="310">
        <f t="shared" ca="1" si="18"/>
        <v>3</v>
      </c>
      <c r="Q43" s="304">
        <f t="shared" ca="1" si="19"/>
        <v>180.25862068965588</v>
      </c>
      <c r="R43" s="306">
        <f t="shared" ca="1" si="20"/>
        <v>9.567222496586622E-2</v>
      </c>
      <c r="S43" s="307">
        <f t="shared" ca="1" si="21"/>
        <v>2.7149240173721059</v>
      </c>
      <c r="T43" s="304">
        <f t="shared" ca="1" si="1"/>
        <v>26.63340461042036</v>
      </c>
      <c r="U43" s="311">
        <f t="shared" ca="1" si="2"/>
        <v>0</v>
      </c>
      <c r="V43" s="306">
        <f t="shared" ca="1" si="3"/>
        <v>1.1574622495328242</v>
      </c>
      <c r="W43" s="304">
        <f t="shared" ca="1" si="4"/>
        <v>84.796696917485718</v>
      </c>
      <c r="Y43" s="314" t="str">
        <f t="shared" ca="1" si="22"/>
        <v/>
      </c>
      <c r="Z43" s="315" t="str">
        <f t="shared" ca="1" si="23"/>
        <v/>
      </c>
      <c r="AA43" s="316" t="str">
        <f t="shared" ca="1" si="24"/>
        <v/>
      </c>
      <c r="AC43" s="310" t="e">
        <f t="shared" ca="1" si="25"/>
        <v>#N/A</v>
      </c>
      <c r="AD43" s="323" t="e">
        <f t="shared" ca="1" si="26"/>
        <v>#N/A</v>
      </c>
      <c r="AE43" s="324">
        <f t="shared" ca="1" si="5"/>
        <v>566.95757072683443</v>
      </c>
      <c r="AG43" s="306">
        <f t="shared" ca="1" si="27"/>
        <v>25.662431932760878</v>
      </c>
      <c r="AH43" s="304">
        <f t="shared" ca="1" si="28"/>
        <v>35.240854616517296</v>
      </c>
    </row>
    <row r="44" spans="1:34" x14ac:dyDescent="0.2">
      <c r="A44" s="347">
        <f t="shared" ca="1" si="6"/>
        <v>0.01</v>
      </c>
      <c r="B44" s="304">
        <f t="shared" ca="1" si="7"/>
        <v>3.5999999999999917</v>
      </c>
      <c r="D44" s="306">
        <f t="shared" ca="1" si="8"/>
        <v>7.5327791886477442</v>
      </c>
      <c r="E44" s="307">
        <f t="shared" ca="1" si="9"/>
        <v>24.222930957741873</v>
      </c>
      <c r="F44" s="304">
        <f t="shared" ca="1" si="10"/>
        <v>25.367166702027529</v>
      </c>
      <c r="G44" s="306">
        <f t="shared" ca="1" si="11"/>
        <v>40.951453348323717</v>
      </c>
      <c r="H44" s="307">
        <f t="shared" ca="1" si="12"/>
        <v>184.91966695154653</v>
      </c>
      <c r="I44" s="304">
        <f t="shared" ca="1" si="13"/>
        <v>189.39985416259123</v>
      </c>
      <c r="J44" s="306">
        <f t="shared" ca="1" si="14"/>
        <v>116.2477623839449</v>
      </c>
      <c r="K44" s="307">
        <f t="shared" ca="1" si="15"/>
        <v>568.80555624980207</v>
      </c>
      <c r="L44" s="304">
        <f t="shared" ca="1" si="0"/>
        <v>580.56291913962343</v>
      </c>
      <c r="M44" s="306">
        <f t="shared" ca="1" si="16"/>
        <v>1.3528582641101135</v>
      </c>
      <c r="N44" s="304">
        <f t="shared" ca="1" si="17"/>
        <v>77.513068812904351</v>
      </c>
      <c r="P44" s="310">
        <f t="shared" ca="1" si="18"/>
        <v>3</v>
      </c>
      <c r="Q44" s="304">
        <f t="shared" ca="1" si="19"/>
        <v>179.39655172413865</v>
      </c>
      <c r="R44" s="306">
        <f t="shared" ca="1" si="20"/>
        <v>9.521468204398259E-2</v>
      </c>
      <c r="S44" s="307">
        <f t="shared" ca="1" si="21"/>
        <v>2.7139718705516662</v>
      </c>
      <c r="T44" s="304">
        <f t="shared" ca="1" si="1"/>
        <v>26.624064050111848</v>
      </c>
      <c r="U44" s="311">
        <f t="shared" ca="1" si="2"/>
        <v>0</v>
      </c>
      <c r="V44" s="306">
        <f t="shared" ca="1" si="3"/>
        <v>1.1572481993910153</v>
      </c>
      <c r="W44" s="304">
        <f t="shared" ca="1" si="4"/>
        <v>85.007777857203237</v>
      </c>
      <c r="Y44" s="314" t="str">
        <f t="shared" ca="1" si="22"/>
        <v/>
      </c>
      <c r="Z44" s="315" t="str">
        <f t="shared" ca="1" si="23"/>
        <v/>
      </c>
      <c r="AA44" s="316" t="str">
        <f t="shared" ca="1" si="24"/>
        <v/>
      </c>
      <c r="AC44" s="310" t="e">
        <f t="shared" ca="1" si="25"/>
        <v>#N/A</v>
      </c>
      <c r="AD44" s="323" t="e">
        <f t="shared" ca="1" si="26"/>
        <v>#N/A</v>
      </c>
      <c r="AE44" s="324">
        <f t="shared" ca="1" si="5"/>
        <v>568.80555624980207</v>
      </c>
      <c r="AG44" s="306">
        <f t="shared" ca="1" si="27"/>
        <v>25.278423192618142</v>
      </c>
      <c r="AH44" s="304">
        <f t="shared" ca="1" si="28"/>
        <v>34.856608439137474</v>
      </c>
    </row>
    <row r="45" spans="1:34" x14ac:dyDescent="0.2">
      <c r="A45" s="347">
        <f t="shared" ca="1" si="6"/>
        <v>0.01</v>
      </c>
      <c r="B45" s="304">
        <f t="shared" ca="1" si="7"/>
        <v>3.6099999999999914</v>
      </c>
      <c r="D45" s="306">
        <f t="shared" ca="1" si="8"/>
        <v>7.4536951964523759</v>
      </c>
      <c r="E45" s="307">
        <f t="shared" ca="1" si="9"/>
        <v>23.847775746382268</v>
      </c>
      <c r="F45" s="304">
        <f t="shared" ca="1" si="10"/>
        <v>24.985475383337327</v>
      </c>
      <c r="G45" s="306">
        <f t="shared" ca="1" si="11"/>
        <v>41.025990300288242</v>
      </c>
      <c r="H45" s="307">
        <f t="shared" ca="1" si="12"/>
        <v>185.15814470901034</v>
      </c>
      <c r="I45" s="304">
        <f t="shared" ca="1" si="13"/>
        <v>189.64880814864659</v>
      </c>
      <c r="J45" s="306">
        <f t="shared" ca="1" si="14"/>
        <v>116.65764960218796</v>
      </c>
      <c r="K45" s="307">
        <f t="shared" ca="1" si="15"/>
        <v>570.65594530810483</v>
      </c>
      <c r="L45" s="304">
        <f t="shared" ca="1" si="0"/>
        <v>582.45790845879469</v>
      </c>
      <c r="M45" s="306">
        <f t="shared" ca="1" si="16"/>
        <v>1.3527464211714528</v>
      </c>
      <c r="N45" s="304">
        <f t="shared" ca="1" si="17"/>
        <v>77.506660684550752</v>
      </c>
      <c r="P45" s="310">
        <f t="shared" ca="1" si="18"/>
        <v>3</v>
      </c>
      <c r="Q45" s="304">
        <f t="shared" ca="1" si="19"/>
        <v>178.53448275862144</v>
      </c>
      <c r="R45" s="306">
        <f t="shared" ca="1" si="20"/>
        <v>9.4757139122098988E-2</v>
      </c>
      <c r="S45" s="307">
        <f t="shared" ca="1" si="21"/>
        <v>2.7130242991604452</v>
      </c>
      <c r="T45" s="304">
        <f t="shared" ca="1" si="1"/>
        <v>26.614768374763969</v>
      </c>
      <c r="U45" s="311">
        <f t="shared" ca="1" si="2"/>
        <v>0</v>
      </c>
      <c r="V45" s="306">
        <f t="shared" ca="1" si="3"/>
        <v>1.1570339093842192</v>
      </c>
      <c r="W45" s="304">
        <f t="shared" ca="1" si="4"/>
        <v>85.215616823264043</v>
      </c>
      <c r="Y45" s="314" t="str">
        <f t="shared" ca="1" si="22"/>
        <v/>
      </c>
      <c r="Z45" s="315" t="str">
        <f t="shared" ca="1" si="23"/>
        <v/>
      </c>
      <c r="AA45" s="316" t="str">
        <f t="shared" ca="1" si="24"/>
        <v/>
      </c>
      <c r="AC45" s="310" t="e">
        <f t="shared" ca="1" si="25"/>
        <v>#N/A</v>
      </c>
      <c r="AD45" s="323" t="e">
        <f t="shared" ca="1" si="26"/>
        <v>#N/A</v>
      </c>
      <c r="AE45" s="324">
        <f t="shared" ca="1" si="5"/>
        <v>570.65594530810483</v>
      </c>
      <c r="AG45" s="306">
        <f t="shared" ca="1" si="27"/>
        <v>24.895279991179763</v>
      </c>
      <c r="AH45" s="304">
        <f t="shared" ca="1" si="28"/>
        <v>34.473227877229249</v>
      </c>
    </row>
    <row r="46" spans="1:34" x14ac:dyDescent="0.2">
      <c r="A46" s="347">
        <f t="shared" ca="1" si="6"/>
        <v>0.01</v>
      </c>
      <c r="B46" s="304">
        <f t="shared" ca="1" si="7"/>
        <v>3.6199999999999912</v>
      </c>
      <c r="D46" s="306">
        <f t="shared" ca="1" si="8"/>
        <v>7.374712503848996</v>
      </c>
      <c r="E46" s="307">
        <f t="shared" ca="1" si="9"/>
        <v>23.473488709970908</v>
      </c>
      <c r="F46" s="304">
        <f t="shared" ca="1" si="10"/>
        <v>24.604695826844889</v>
      </c>
      <c r="G46" s="306">
        <f t="shared" ca="1" si="11"/>
        <v>41.09973742532673</v>
      </c>
      <c r="H46" s="307">
        <f t="shared" ca="1" si="12"/>
        <v>185.39287959611005</v>
      </c>
      <c r="I46" s="304">
        <f t="shared" ca="1" si="13"/>
        <v>189.8939394013631</v>
      </c>
      <c r="J46" s="306">
        <f t="shared" ca="1" si="14"/>
        <v>117.06827824081603</v>
      </c>
      <c r="K46" s="307">
        <f t="shared" ca="1" si="15"/>
        <v>572.50870042963038</v>
      </c>
      <c r="L46" s="304">
        <f t="shared" ca="1" si="0"/>
        <v>584.35536605553079</v>
      </c>
      <c r="M46" s="306">
        <f t="shared" ca="1" si="16"/>
        <v>1.3526346661980748</v>
      </c>
      <c r="N46" s="304">
        <f t="shared" ca="1" si="17"/>
        <v>77.500257596236608</v>
      </c>
      <c r="P46" s="310">
        <f t="shared" ca="1" si="18"/>
        <v>3</v>
      </c>
      <c r="Q46" s="304">
        <f t="shared" ca="1" si="19"/>
        <v>177.6724137931042</v>
      </c>
      <c r="R46" s="306">
        <f t="shared" ca="1" si="20"/>
        <v>9.4299596200215358E-2</v>
      </c>
      <c r="S46" s="307">
        <f t="shared" ca="1" si="21"/>
        <v>2.7120813031984432</v>
      </c>
      <c r="T46" s="304">
        <f t="shared" ca="1" si="1"/>
        <v>26.605517584376731</v>
      </c>
      <c r="U46" s="311">
        <f t="shared" ca="1" si="2"/>
        <v>0</v>
      </c>
      <c r="V46" s="306">
        <f t="shared" ca="1" si="3"/>
        <v>1.1568193839906702</v>
      </c>
      <c r="W46" s="304">
        <f t="shared" ca="1" si="4"/>
        <v>85.420210021165246</v>
      </c>
      <c r="Y46" s="314" t="str">
        <f t="shared" ca="1" si="22"/>
        <v/>
      </c>
      <c r="Z46" s="315" t="str">
        <f t="shared" ca="1" si="23"/>
        <v/>
      </c>
      <c r="AA46" s="316" t="str">
        <f t="shared" ca="1" si="24"/>
        <v/>
      </c>
      <c r="AC46" s="310" t="e">
        <f t="shared" ca="1" si="25"/>
        <v>#N/A</v>
      </c>
      <c r="AD46" s="323" t="e">
        <f t="shared" ca="1" si="26"/>
        <v>#N/A</v>
      </c>
      <c r="AE46" s="324">
        <f t="shared" ca="1" si="5"/>
        <v>572.50870042963038</v>
      </c>
      <c r="AG46" s="306">
        <f t="shared" ca="1" si="27"/>
        <v>24.513006690728382</v>
      </c>
      <c r="AH46" s="304">
        <f t="shared" ca="1" si="28"/>
        <v>34.09071728815907</v>
      </c>
    </row>
    <row r="47" spans="1:34" x14ac:dyDescent="0.2">
      <c r="A47" s="347">
        <f t="shared" ca="1" si="6"/>
        <v>0.01</v>
      </c>
      <c r="B47" s="304">
        <f t="shared" ca="1" si="7"/>
        <v>3.629999999999991</v>
      </c>
      <c r="D47" s="306">
        <f t="shared" ca="1" si="8"/>
        <v>7.2958324992431507</v>
      </c>
      <c r="E47" s="307">
        <f t="shared" ca="1" si="9"/>
        <v>23.100073903588189</v>
      </c>
      <c r="F47" s="304">
        <f t="shared" ca="1" si="10"/>
        <v>24.224834080097406</v>
      </c>
      <c r="G47" s="306">
        <f t="shared" ca="1" si="11"/>
        <v>41.172695750319164</v>
      </c>
      <c r="H47" s="307">
        <f t="shared" ca="1" si="12"/>
        <v>185.62388033514594</v>
      </c>
      <c r="I47" s="304">
        <f t="shared" ca="1" si="13"/>
        <v>190.1352566622638</v>
      </c>
      <c r="J47" s="306">
        <f t="shared" ca="1" si="14"/>
        <v>117.47964040669426</v>
      </c>
      <c r="K47" s="307">
        <f t="shared" ca="1" si="15"/>
        <v>574.36378422928669</v>
      </c>
      <c r="L47" s="304">
        <f t="shared" ca="1" si="0"/>
        <v>586.25525374556162</v>
      </c>
      <c r="M47" s="306">
        <f t="shared" ca="1" si="16"/>
        <v>1.3525229967688983</v>
      </c>
      <c r="N47" s="304">
        <f t="shared" ca="1" si="17"/>
        <v>77.493859409244152</v>
      </c>
      <c r="P47" s="310">
        <f t="shared" ca="1" si="18"/>
        <v>3</v>
      </c>
      <c r="Q47" s="304">
        <f t="shared" ca="1" si="19"/>
        <v>176.81034482758699</v>
      </c>
      <c r="R47" s="306">
        <f t="shared" ca="1" si="20"/>
        <v>9.3842053278331755E-2</v>
      </c>
      <c r="S47" s="307">
        <f t="shared" ca="1" si="21"/>
        <v>2.7111428826656598</v>
      </c>
      <c r="T47" s="304">
        <f t="shared" ca="1" si="1"/>
        <v>26.596311678950123</v>
      </c>
      <c r="U47" s="311">
        <f t="shared" ca="1" si="2"/>
        <v>0</v>
      </c>
      <c r="V47" s="306">
        <f t="shared" ca="1" si="3"/>
        <v>1.1566046276755155</v>
      </c>
      <c r="W47" s="304">
        <f t="shared" ca="1" si="4"/>
        <v>85.621553953609094</v>
      </c>
      <c r="Y47" s="314" t="str">
        <f t="shared" ca="1" si="22"/>
        <v/>
      </c>
      <c r="Z47" s="315" t="str">
        <f t="shared" ca="1" si="23"/>
        <v/>
      </c>
      <c r="AA47" s="316" t="str">
        <f t="shared" ca="1" si="24"/>
        <v/>
      </c>
      <c r="AC47" s="310" t="e">
        <f t="shared" ca="1" si="25"/>
        <v>#N/A</v>
      </c>
      <c r="AD47" s="323" t="e">
        <f t="shared" ca="1" si="26"/>
        <v>#N/A</v>
      </c>
      <c r="AE47" s="324">
        <f t="shared" ca="1" si="5"/>
        <v>574.36378422928669</v>
      </c>
      <c r="AG47" s="306">
        <f t="shared" ca="1" si="27"/>
        <v>24.131607540152672</v>
      </c>
      <c r="AH47" s="304">
        <f t="shared" ca="1" si="28"/>
        <v>33.709080915929007</v>
      </c>
    </row>
    <row r="48" spans="1:34" x14ac:dyDescent="0.2">
      <c r="A48" s="347">
        <f t="shared" ca="1" si="6"/>
        <v>0.01</v>
      </c>
      <c r="B48" s="304">
        <f t="shared" ca="1" si="7"/>
        <v>3.6399999999999908</v>
      </c>
      <c r="D48" s="306">
        <f t="shared" ca="1" si="8"/>
        <v>7.2170565437779377</v>
      </c>
      <c r="E48" s="307">
        <f t="shared" ca="1" si="9"/>
        <v>22.727535272847248</v>
      </c>
      <c r="F48" s="304">
        <f t="shared" ca="1" si="10"/>
        <v>23.845896182249135</v>
      </c>
      <c r="G48" s="306">
        <f t="shared" ca="1" si="11"/>
        <v>41.244866315756944</v>
      </c>
      <c r="H48" s="307">
        <f t="shared" ca="1" si="12"/>
        <v>185.85115568787441</v>
      </c>
      <c r="I48" s="304">
        <f t="shared" ca="1" si="13"/>
        <v>190.3727687142339</v>
      </c>
      <c r="J48" s="306">
        <f t="shared" ca="1" si="14"/>
        <v>117.89172821702464</v>
      </c>
      <c r="K48" s="307">
        <f t="shared" ca="1" si="15"/>
        <v>576.22115940940182</v>
      </c>
      <c r="L48" s="304">
        <f t="shared" ca="1" si="0"/>
        <v>588.15753343225322</v>
      </c>
      <c r="M48" s="306">
        <f t="shared" ca="1" si="16"/>
        <v>1.3524114104811182</v>
      </c>
      <c r="N48" s="304">
        <f t="shared" ca="1" si="17"/>
        <v>77.487465985902816</v>
      </c>
      <c r="P48" s="310">
        <f t="shared" ca="1" si="18"/>
        <v>3</v>
      </c>
      <c r="Q48" s="304">
        <f t="shared" ca="1" si="19"/>
        <v>175.94827586206975</v>
      </c>
      <c r="R48" s="306">
        <f t="shared" ca="1" si="20"/>
        <v>9.3384510356448125E-2</v>
      </c>
      <c r="S48" s="307">
        <f t="shared" ca="1" si="21"/>
        <v>2.7102090375620955</v>
      </c>
      <c r="T48" s="304">
        <f t="shared" ca="1" si="1"/>
        <v>26.587150658484159</v>
      </c>
      <c r="U48" s="311">
        <f t="shared" ca="1" si="2"/>
        <v>0</v>
      </c>
      <c r="V48" s="306">
        <f t="shared" ca="1" si="3"/>
        <v>1.1563896448907749</v>
      </c>
      <c r="W48" s="304">
        <f t="shared" ca="1" si="4"/>
        <v>85.819645417761066</v>
      </c>
      <c r="Y48" s="314" t="str">
        <f t="shared" ca="1" si="22"/>
        <v/>
      </c>
      <c r="Z48" s="315" t="str">
        <f t="shared" ca="1" si="23"/>
        <v/>
      </c>
      <c r="AA48" s="316" t="str">
        <f t="shared" ca="1" si="24"/>
        <v/>
      </c>
      <c r="AC48" s="310" t="e">
        <f t="shared" ca="1" si="25"/>
        <v>#N/A</v>
      </c>
      <c r="AD48" s="323" t="e">
        <f t="shared" ca="1" si="26"/>
        <v>#N/A</v>
      </c>
      <c r="AE48" s="324">
        <f t="shared" ca="1" si="5"/>
        <v>576.22115940940182</v>
      </c>
      <c r="AG48" s="306">
        <f t="shared" ca="1" si="27"/>
        <v>23.751086675688075</v>
      </c>
      <c r="AH48" s="304">
        <f t="shared" ca="1" si="28"/>
        <v>33.328322891916827</v>
      </c>
    </row>
    <row r="49" spans="1:34" x14ac:dyDescent="0.2">
      <c r="A49" s="347">
        <f t="shared" ca="1" si="6"/>
        <v>0.01</v>
      </c>
      <c r="B49" s="304">
        <f t="shared" ca="1" si="7"/>
        <v>3.6499999999999906</v>
      </c>
      <c r="D49" s="306">
        <f t="shared" ca="1" si="8"/>
        <v>7.1383859714987228</v>
      </c>
      <c r="E49" s="307">
        <f t="shared" ca="1" si="9"/>
        <v>22.355876654625284</v>
      </c>
      <c r="F49" s="304">
        <f t="shared" ca="1" si="10"/>
        <v>23.467888172456199</v>
      </c>
      <c r="G49" s="306">
        <f t="shared" ca="1" si="11"/>
        <v>41.316250175471929</v>
      </c>
      <c r="H49" s="307">
        <f t="shared" ca="1" si="12"/>
        <v>186.07471445442067</v>
      </c>
      <c r="I49" s="304">
        <f t="shared" ca="1" si="13"/>
        <v>190.60648438040184</v>
      </c>
      <c r="J49" s="306">
        <f t="shared" ca="1" si="14"/>
        <v>118.30453379948078</v>
      </c>
      <c r="K49" s="307">
        <f t="shared" ca="1" si="15"/>
        <v>578.08078876011325</v>
      </c>
      <c r="L49" s="304">
        <f t="shared" ca="1" si="0"/>
        <v>590.06216710701528</v>
      </c>
      <c r="M49" s="306">
        <f t="shared" ca="1" si="16"/>
        <v>1.3522999049498436</v>
      </c>
      <c r="N49" s="304">
        <f t="shared" ca="1" si="17"/>
        <v>77.481077189568424</v>
      </c>
      <c r="P49" s="310">
        <f t="shared" ca="1" si="18"/>
        <v>3</v>
      </c>
      <c r="Q49" s="304">
        <f t="shared" ca="1" si="19"/>
        <v>175.08620689655254</v>
      </c>
      <c r="R49" s="306">
        <f t="shared" ca="1" si="20"/>
        <v>9.2926967434564522E-2</v>
      </c>
      <c r="S49" s="307">
        <f t="shared" ca="1" si="21"/>
        <v>2.7092797678877498</v>
      </c>
      <c r="T49" s="304">
        <f t="shared" ca="1" si="1"/>
        <v>26.578034522978829</v>
      </c>
      <c r="U49" s="311">
        <f t="shared" ca="1" si="2"/>
        <v>0</v>
      </c>
      <c r="V49" s="306">
        <f t="shared" ca="1" si="3"/>
        <v>1.1561744400752925</v>
      </c>
      <c r="W49" s="304">
        <f t="shared" ca="1" si="4"/>
        <v>86.014481502501269</v>
      </c>
      <c r="Y49" s="314" t="str">
        <f t="shared" ca="1" si="22"/>
        <v/>
      </c>
      <c r="Z49" s="315" t="str">
        <f t="shared" ca="1" si="23"/>
        <v/>
      </c>
      <c r="AA49" s="316" t="str">
        <f t="shared" ca="1" si="24"/>
        <v/>
      </c>
      <c r="AC49" s="310" t="e">
        <f t="shared" ca="1" si="25"/>
        <v>#N/A</v>
      </c>
      <c r="AD49" s="323" t="e">
        <f t="shared" ca="1" si="26"/>
        <v>#N/A</v>
      </c>
      <c r="AE49" s="324">
        <f t="shared" ca="1" si="5"/>
        <v>578.08078876011325</v>
      </c>
      <c r="AG49" s="306">
        <f t="shared" ca="1" si="27"/>
        <v>23.371448121664859</v>
      </c>
      <c r="AH49" s="304">
        <f t="shared" ca="1" si="28"/>
        <v>32.948447235623377</v>
      </c>
    </row>
    <row r="50" spans="1:34" x14ac:dyDescent="0.2">
      <c r="A50" s="347">
        <f t="shared" ca="1" si="6"/>
        <v>0.01</v>
      </c>
      <c r="B50" s="304">
        <f t="shared" ca="1" si="7"/>
        <v>3.6599999999999904</v>
      </c>
      <c r="D50" s="306">
        <f t="shared" ca="1" si="8"/>
        <v>7.0598220895188577</v>
      </c>
      <c r="E50" s="307">
        <f t="shared" ca="1" si="9"/>
        <v>21.985101777801361</v>
      </c>
      <c r="F50" s="304">
        <f t="shared" ca="1" si="10"/>
        <v>23.090816098958975</v>
      </c>
      <c r="G50" s="306">
        <f t="shared" ca="1" si="11"/>
        <v>41.386848396367114</v>
      </c>
      <c r="H50" s="307">
        <f t="shared" ca="1" si="12"/>
        <v>186.29456547219868</v>
      </c>
      <c r="I50" s="304">
        <f t="shared" ca="1" si="13"/>
        <v>190.83641252302769</v>
      </c>
      <c r="J50" s="306">
        <f t="shared" ca="1" si="14"/>
        <v>118.71804929233997</v>
      </c>
      <c r="K50" s="307">
        <f t="shared" ca="1" si="15"/>
        <v>579.94263515974637</v>
      </c>
      <c r="L50" s="304">
        <f t="shared" ca="1" si="0"/>
        <v>591.96911684969609</v>
      </c>
      <c r="M50" s="306">
        <f t="shared" ca="1" si="16"/>
        <v>1.3521884778077398</v>
      </c>
      <c r="N50" s="304">
        <f t="shared" ca="1" si="17"/>
        <v>77.474692884602661</v>
      </c>
      <c r="P50" s="310">
        <f t="shared" ca="1" si="18"/>
        <v>3</v>
      </c>
      <c r="Q50" s="304">
        <f t="shared" ca="1" si="19"/>
        <v>174.22413793103533</v>
      </c>
      <c r="R50" s="306">
        <f t="shared" ca="1" si="20"/>
        <v>9.246942451268092E-2</v>
      </c>
      <c r="S50" s="307">
        <f t="shared" ca="1" si="21"/>
        <v>2.7083550736426232</v>
      </c>
      <c r="T50" s="304">
        <f t="shared" ca="1" si="1"/>
        <v>26.568963272434136</v>
      </c>
      <c r="U50" s="311">
        <f t="shared" ca="1" si="2"/>
        <v>0</v>
      </c>
      <c r="V50" s="306">
        <f t="shared" ca="1" si="3"/>
        <v>1.1559590176546986</v>
      </c>
      <c r="W50" s="304">
        <f t="shared" ca="1" si="4"/>
        <v>86.20605958566982</v>
      </c>
      <c r="Y50" s="314" t="str">
        <f t="shared" ca="1" si="22"/>
        <v/>
      </c>
      <c r="Z50" s="315" t="str">
        <f t="shared" ca="1" si="23"/>
        <v/>
      </c>
      <c r="AA50" s="316" t="str">
        <f t="shared" ca="1" si="24"/>
        <v/>
      </c>
      <c r="AC50" s="310" t="e">
        <f t="shared" ca="1" si="25"/>
        <v>#N/A</v>
      </c>
      <c r="AD50" s="323" t="e">
        <f t="shared" ca="1" si="26"/>
        <v>#N/A</v>
      </c>
      <c r="AE50" s="324">
        <f t="shared" ca="1" si="5"/>
        <v>579.94263515974637</v>
      </c>
      <c r="AG50" s="306">
        <f t="shared" ca="1" si="27"/>
        <v>22.992695791262719</v>
      </c>
      <c r="AH50" s="304">
        <f t="shared" ca="1" si="28"/>
        <v>32.569457855426542</v>
      </c>
    </row>
    <row r="51" spans="1:34" x14ac:dyDescent="0.2">
      <c r="A51" s="347">
        <f t="shared" ca="1" si="6"/>
        <v>0.01</v>
      </c>
      <c r="B51" s="304">
        <f t="shared" ca="1" si="7"/>
        <v>3.6699999999999902</v>
      </c>
      <c r="D51" s="306">
        <f t="shared" ca="1" si="8"/>
        <v>6.9813661781864988</v>
      </c>
      <c r="E51" s="307">
        <f t="shared" ca="1" si="9"/>
        <v>21.615214264000905</v>
      </c>
      <c r="F51" s="304">
        <f t="shared" ca="1" si="10"/>
        <v>22.714686028923985</v>
      </c>
      <c r="G51" s="306">
        <f t="shared" ca="1" si="11"/>
        <v>41.456662058148979</v>
      </c>
      <c r="H51" s="307">
        <f t="shared" ca="1" si="12"/>
        <v>186.51071761483868</v>
      </c>
      <c r="I51" s="304">
        <f t="shared" ca="1" si="13"/>
        <v>191.06256204239926</v>
      </c>
      <c r="J51" s="306">
        <f t="shared" ca="1" si="14"/>
        <v>119.13226684461254</v>
      </c>
      <c r="K51" s="307">
        <f t="shared" ca="1" si="15"/>
        <v>581.80666157518158</v>
      </c>
      <c r="L51" s="304">
        <f t="shared" ca="1" si="0"/>
        <v>593.87834482896733</v>
      </c>
      <c r="M51" s="306">
        <f t="shared" ca="1" si="16"/>
        <v>1.3520771267046789</v>
      </c>
      <c r="N51" s="304">
        <f t="shared" ca="1" si="17"/>
        <v>77.468312936353158</v>
      </c>
      <c r="P51" s="310">
        <f t="shared" ca="1" si="18"/>
        <v>3</v>
      </c>
      <c r="Q51" s="304">
        <f t="shared" ca="1" si="19"/>
        <v>173.36206896551809</v>
      </c>
      <c r="R51" s="306">
        <f t="shared" ca="1" si="20"/>
        <v>9.201188159079729E-2</v>
      </c>
      <c r="S51" s="307">
        <f t="shared" ca="1" si="21"/>
        <v>2.7074349548267151</v>
      </c>
      <c r="T51" s="304">
        <f t="shared" ca="1" si="1"/>
        <v>26.559936906850076</v>
      </c>
      <c r="U51" s="311">
        <f t="shared" ca="1" si="2"/>
        <v>0</v>
      </c>
      <c r="V51" s="306">
        <f t="shared" ca="1" si="3"/>
        <v>1.1557433820413654</v>
      </c>
      <c r="W51" s="304">
        <f t="shared" ca="1" si="4"/>
        <v>86.394377331306643</v>
      </c>
      <c r="Y51" s="314" t="str">
        <f t="shared" ca="1" si="22"/>
        <v/>
      </c>
      <c r="Z51" s="315" t="str">
        <f t="shared" ca="1" si="23"/>
        <v/>
      </c>
      <c r="AA51" s="316" t="str">
        <f t="shared" ca="1" si="24"/>
        <v/>
      </c>
      <c r="AC51" s="310" t="e">
        <f t="shared" ca="1" si="25"/>
        <v>#N/A</v>
      </c>
      <c r="AD51" s="323" t="e">
        <f t="shared" ca="1" si="26"/>
        <v>#N/A</v>
      </c>
      <c r="AE51" s="324">
        <f t="shared" ca="1" si="5"/>
        <v>581.80666157518158</v>
      </c>
      <c r="AG51" s="306">
        <f t="shared" ca="1" si="27"/>
        <v>22.614833487272151</v>
      </c>
      <c r="AH51" s="304">
        <f t="shared" ca="1" si="28"/>
        <v>32.19135854934197</v>
      </c>
    </row>
    <row r="52" spans="1:34" x14ac:dyDescent="0.2">
      <c r="A52" s="347">
        <f t="shared" ca="1" si="6"/>
        <v>0.01</v>
      </c>
      <c r="B52" s="304">
        <f t="shared" ca="1" si="7"/>
        <v>3.6799999999999899</v>
      </c>
      <c r="D52" s="306">
        <f t="shared" ca="1" si="8"/>
        <v>6.9030194912523273</v>
      </c>
      <c r="E52" s="307">
        <f t="shared" ca="1" si="9"/>
        <v>21.246217628346493</v>
      </c>
      <c r="F52" s="304">
        <f t="shared" ca="1" si="10"/>
        <v>22.33950405912519</v>
      </c>
      <c r="G52" s="306">
        <f t="shared" ca="1" si="11"/>
        <v>41.5256922530615</v>
      </c>
      <c r="H52" s="307">
        <f t="shared" ca="1" si="12"/>
        <v>186.72317979112213</v>
      </c>
      <c r="I52" s="304">
        <f t="shared" ca="1" si="13"/>
        <v>191.284941875736</v>
      </c>
      <c r="J52" s="306">
        <f t="shared" ca="1" si="14"/>
        <v>119.54717861616859</v>
      </c>
      <c r="K52" s="307">
        <f t="shared" ca="1" si="15"/>
        <v>583.67283106221134</v>
      </c>
      <c r="L52" s="304">
        <f t="shared" ca="1" si="0"/>
        <v>595.78981330269721</v>
      </c>
      <c r="M52" s="306">
        <f t="shared" ca="1" si="16"/>
        <v>1.3519658493073961</v>
      </c>
      <c r="N52" s="304">
        <f t="shared" ca="1" si="17"/>
        <v>77.461937211133645</v>
      </c>
      <c r="P52" s="310">
        <f t="shared" ca="1" si="18"/>
        <v>3</v>
      </c>
      <c r="Q52" s="304">
        <f t="shared" ca="1" si="19"/>
        <v>172.50000000000085</v>
      </c>
      <c r="R52" s="306">
        <f t="shared" ca="1" si="20"/>
        <v>9.1554338668913673E-2</v>
      </c>
      <c r="S52" s="307">
        <f t="shared" ca="1" si="21"/>
        <v>2.7065194114400262</v>
      </c>
      <c r="T52" s="304">
        <f t="shared" ca="1" si="1"/>
        <v>26.550955426226658</v>
      </c>
      <c r="U52" s="311">
        <f t="shared" ca="1" si="2"/>
        <v>0</v>
      </c>
      <c r="V52" s="306">
        <f t="shared" ca="1" si="3"/>
        <v>1.1555275376343694</v>
      </c>
      <c r="W52" s="304">
        <f t="shared" ca="1" si="4"/>
        <v>86.579432686887174</v>
      </c>
      <c r="Y52" s="314" t="str">
        <f t="shared" ca="1" si="22"/>
        <v/>
      </c>
      <c r="Z52" s="315" t="str">
        <f t="shared" ca="1" si="23"/>
        <v/>
      </c>
      <c r="AA52" s="316" t="str">
        <f t="shared" ca="1" si="24"/>
        <v/>
      </c>
      <c r="AC52" s="310" t="e">
        <f t="shared" ca="1" si="25"/>
        <v>#N/A</v>
      </c>
      <c r="AD52" s="323" t="e">
        <f t="shared" ca="1" si="26"/>
        <v>#N/A</v>
      </c>
      <c r="AE52" s="324">
        <f t="shared" ca="1" si="5"/>
        <v>583.67283106221134</v>
      </c>
      <c r="AG52" s="306">
        <f t="shared" ca="1" si="27"/>
        <v>22.23786490286221</v>
      </c>
      <c r="AH52" s="304">
        <f t="shared" ca="1" si="28"/>
        <v>31.814153005790192</v>
      </c>
    </row>
    <row r="53" spans="1:34" x14ac:dyDescent="0.2">
      <c r="A53" s="347">
        <f t="shared" ca="1" si="6"/>
        <v>0.01</v>
      </c>
      <c r="B53" s="304">
        <f t="shared" ca="1" si="7"/>
        <v>3.6899999999999897</v>
      </c>
      <c r="D53" s="306">
        <f t="shared" ca="1" si="8"/>
        <v>6.8247832560381774</v>
      </c>
      <c r="E53" s="307">
        <f t="shared" ca="1" si="9"/>
        <v>20.878115280214374</v>
      </c>
      <c r="F53" s="304">
        <f t="shared" ca="1" si="10"/>
        <v>21.965276327554363</v>
      </c>
      <c r="G53" s="306">
        <f t="shared" ca="1" si="11"/>
        <v>41.593940085621881</v>
      </c>
      <c r="H53" s="307">
        <f t="shared" ca="1" si="12"/>
        <v>186.93196094392428</v>
      </c>
      <c r="I53" s="304">
        <f t="shared" ca="1" si="13"/>
        <v>191.50356099610036</v>
      </c>
      <c r="J53" s="306">
        <f t="shared" ca="1" si="14"/>
        <v>119.962776777862</v>
      </c>
      <c r="K53" s="307">
        <f t="shared" ca="1" si="15"/>
        <v>585.54110676588652</v>
      </c>
      <c r="L53" s="304">
        <f t="shared" ca="1" si="0"/>
        <v>597.7034846183135</v>
      </c>
      <c r="M53" s="306">
        <f t="shared" ca="1" si="16"/>
        <v>1.3518546432991481</v>
      </c>
      <c r="N53" s="304">
        <f t="shared" ca="1" si="17"/>
        <v>77.455565576204535</v>
      </c>
      <c r="P53" s="310">
        <f t="shared" ca="1" si="18"/>
        <v>3</v>
      </c>
      <c r="Q53" s="304">
        <f t="shared" ca="1" si="19"/>
        <v>171.63793103448364</v>
      </c>
      <c r="R53" s="306">
        <f t="shared" ca="1" si="20"/>
        <v>9.1096795747030057E-2</v>
      </c>
      <c r="S53" s="307">
        <f t="shared" ca="1" si="21"/>
        <v>2.7056084434825558</v>
      </c>
      <c r="T53" s="304">
        <f t="shared" ca="1" si="1"/>
        <v>26.542018830563872</v>
      </c>
      <c r="U53" s="311">
        <f t="shared" ca="1" si="2"/>
        <v>0</v>
      </c>
      <c r="V53" s="306">
        <f t="shared" ca="1" si="3"/>
        <v>1.1553114888194551</v>
      </c>
      <c r="W53" s="304">
        <f t="shared" ca="1" si="4"/>
        <v>86.761223880553558</v>
      </c>
      <c r="Y53" s="314" t="str">
        <f t="shared" ca="1" si="22"/>
        <v/>
      </c>
      <c r="Z53" s="315" t="str">
        <f t="shared" ca="1" si="23"/>
        <v/>
      </c>
      <c r="AA53" s="316" t="str">
        <f t="shared" ca="1" si="24"/>
        <v/>
      </c>
      <c r="AC53" s="310" t="e">
        <f t="shared" ca="1" si="25"/>
        <v>#N/A</v>
      </c>
      <c r="AD53" s="323" t="e">
        <f t="shared" ca="1" si="26"/>
        <v>#N/A</v>
      </c>
      <c r="AE53" s="324">
        <f t="shared" ca="1" si="5"/>
        <v>585.54110676588652</v>
      </c>
      <c r="AG53" s="306">
        <f t="shared" ca="1" si="27"/>
        <v>21.861793622354057</v>
      </c>
      <c r="AH53" s="304">
        <f t="shared" ca="1" si="28"/>
        <v>31.437844804369558</v>
      </c>
    </row>
    <row r="54" spans="1:34" x14ac:dyDescent="0.2">
      <c r="A54" s="347">
        <f t="shared" ca="1" si="6"/>
        <v>0.01</v>
      </c>
      <c r="B54" s="304">
        <f t="shared" ca="1" si="7"/>
        <v>3.6999999999999895</v>
      </c>
      <c r="D54" s="306">
        <f t="shared" ca="1" si="8"/>
        <v>6.7466586736066594</v>
      </c>
      <c r="E54" s="307">
        <f t="shared" ca="1" si="9"/>
        <v>20.510910523996877</v>
      </c>
      <c r="F54" s="304">
        <f t="shared" ca="1" si="10"/>
        <v>21.592009026062346</v>
      </c>
      <c r="G54" s="306">
        <f t="shared" ca="1" si="11"/>
        <v>41.661406672357948</v>
      </c>
      <c r="H54" s="307">
        <f t="shared" ca="1" si="12"/>
        <v>187.13707004916424</v>
      </c>
      <c r="I54" s="304">
        <f t="shared" ca="1" si="13"/>
        <v>191.71842841131729</v>
      </c>
      <c r="J54" s="306">
        <f t="shared" ca="1" si="14"/>
        <v>120.3790535116519</v>
      </c>
      <c r="K54" s="307">
        <f t="shared" ca="1" si="15"/>
        <v>587.41145192085196</v>
      </c>
      <c r="L54" s="304">
        <f t="shared" ca="1" si="0"/>
        <v>599.61932121315476</v>
      </c>
      <c r="M54" s="306">
        <f t="shared" ca="1" si="16"/>
        <v>1.351743506379381</v>
      </c>
      <c r="N54" s="304">
        <f t="shared" ca="1" si="17"/>
        <v>77.449197899753798</v>
      </c>
      <c r="P54" s="310">
        <f t="shared" ca="1" si="18"/>
        <v>3</v>
      </c>
      <c r="Q54" s="304">
        <f t="shared" ca="1" si="19"/>
        <v>170.77586206896643</v>
      </c>
      <c r="R54" s="306">
        <f t="shared" ca="1" si="20"/>
        <v>9.0639252825146455E-2</v>
      </c>
      <c r="S54" s="307">
        <f t="shared" ca="1" si="21"/>
        <v>2.7047020509543045</v>
      </c>
      <c r="T54" s="304">
        <f t="shared" ca="1" si="1"/>
        <v>26.533127119861728</v>
      </c>
      <c r="U54" s="311">
        <f t="shared" ca="1" si="2"/>
        <v>0</v>
      </c>
      <c r="V54" s="306">
        <f t="shared" ca="1" si="3"/>
        <v>1.1550952399689953</v>
      </c>
      <c r="W54" s="304">
        <f t="shared" ca="1" si="4"/>
        <v>86.939749418342501</v>
      </c>
      <c r="Y54" s="314" t="str">
        <f t="shared" ca="1" si="22"/>
        <v/>
      </c>
      <c r="Z54" s="315" t="str">
        <f t="shared" ca="1" si="23"/>
        <v/>
      </c>
      <c r="AA54" s="316" t="str">
        <f t="shared" ca="1" si="24"/>
        <v/>
      </c>
      <c r="AC54" s="310" t="e">
        <f t="shared" ca="1" si="25"/>
        <v>#N/A</v>
      </c>
      <c r="AD54" s="323" t="e">
        <f t="shared" ca="1" si="26"/>
        <v>#N/A</v>
      </c>
      <c r="AE54" s="324">
        <f t="shared" ca="1" si="5"/>
        <v>587.41145192085196</v>
      </c>
      <c r="AG54" s="306">
        <f t="shared" ca="1" si="27"/>
        <v>21.486623122000516</v>
      </c>
      <c r="AH54" s="304">
        <f t="shared" ca="1" si="28"/>
        <v>31.06243741663517</v>
      </c>
    </row>
    <row r="55" spans="1:34" x14ac:dyDescent="0.2">
      <c r="A55" s="347">
        <f t="shared" ca="1" si="6"/>
        <v>0.01</v>
      </c>
      <c r="B55" s="304">
        <f t="shared" ca="1" si="7"/>
        <v>3.7099999999999893</v>
      </c>
      <c r="D55" s="306">
        <f t="shared" ca="1" si="8"/>
        <v>6.668646918931584</v>
      </c>
      <c r="E55" s="307">
        <f t="shared" ca="1" si="9"/>
        <v>20.144606559870418</v>
      </c>
      <c r="F55" s="304">
        <f t="shared" ca="1" si="10"/>
        <v>21.219708414145327</v>
      </c>
      <c r="G55" s="306">
        <f t="shared" ca="1" si="11"/>
        <v>41.728093141547262</v>
      </c>
      <c r="H55" s="307">
        <f t="shared" ca="1" si="12"/>
        <v>187.33851611476294</v>
      </c>
      <c r="I55" s="304">
        <f t="shared" ca="1" si="13"/>
        <v>191.92955316290124</v>
      </c>
      <c r="J55" s="306">
        <f t="shared" ca="1" si="14"/>
        <v>120.79600101072143</v>
      </c>
      <c r="K55" s="307">
        <f t="shared" ca="1" si="15"/>
        <v>589.28382985167161</v>
      </c>
      <c r="L55" s="304">
        <f t="shared" ca="1" si="0"/>
        <v>601.53728561481216</v>
      </c>
      <c r="M55" s="306">
        <f t="shared" ca="1" si="16"/>
        <v>1.351632436263402</v>
      </c>
      <c r="N55" s="304">
        <f t="shared" ca="1" si="17"/>
        <v>77.442834050878176</v>
      </c>
      <c r="P55" s="310">
        <f t="shared" ca="1" si="18"/>
        <v>3</v>
      </c>
      <c r="Q55" s="304">
        <f t="shared" ca="1" si="19"/>
        <v>169.91379310344919</v>
      </c>
      <c r="R55" s="306">
        <f t="shared" ca="1" si="20"/>
        <v>9.0181709903262838E-2</v>
      </c>
      <c r="S55" s="307">
        <f t="shared" ca="1" si="21"/>
        <v>2.7038002338552718</v>
      </c>
      <c r="T55" s="304">
        <f t="shared" ca="1" si="1"/>
        <v>26.524280294120217</v>
      </c>
      <c r="U55" s="311">
        <f t="shared" ca="1" si="2"/>
        <v>0</v>
      </c>
      <c r="V55" s="306">
        <f t="shared" ca="1" si="3"/>
        <v>1.154878795441959</v>
      </c>
      <c r="W55" s="304">
        <f t="shared" ca="1" si="4"/>
        <v>87.115008081410579</v>
      </c>
      <c r="Y55" s="314" t="str">
        <f t="shared" ca="1" si="22"/>
        <v/>
      </c>
      <c r="Z55" s="315" t="str">
        <f t="shared" ca="1" si="23"/>
        <v/>
      </c>
      <c r="AA55" s="316" t="str">
        <f t="shared" ca="1" si="24"/>
        <v/>
      </c>
      <c r="AC55" s="310" t="e">
        <f t="shared" ca="1" si="25"/>
        <v>#N/A</v>
      </c>
      <c r="AD55" s="323" t="e">
        <f t="shared" ca="1" si="26"/>
        <v>#N/A</v>
      </c>
      <c r="AE55" s="324">
        <f t="shared" ca="1" si="5"/>
        <v>589.28382985167161</v>
      </c>
      <c r="AG55" s="306">
        <f t="shared" ca="1" si="27"/>
        <v>21.112356770771264</v>
      </c>
      <c r="AH55" s="304">
        <f t="shared" ca="1" si="28"/>
        <v>30.687934206883458</v>
      </c>
    </row>
    <row r="56" spans="1:34" x14ac:dyDescent="0.2">
      <c r="A56" s="347">
        <f t="shared" ca="1" si="6"/>
        <v>0.01</v>
      </c>
      <c r="B56" s="304">
        <f t="shared" ca="1" si="7"/>
        <v>3.7199999999999891</v>
      </c>
      <c r="D56" s="306">
        <f t="shared" ca="1" si="8"/>
        <v>6.5907491410692041</v>
      </c>
      <c r="E56" s="307">
        <f t="shared" ca="1" si="9"/>
        <v>19.779206484568597</v>
      </c>
      <c r="F56" s="304">
        <f t="shared" ca="1" si="10"/>
        <v>20.848380834004949</v>
      </c>
      <c r="G56" s="306">
        <f t="shared" ca="1" si="11"/>
        <v>41.794000632957953</v>
      </c>
      <c r="H56" s="307">
        <f t="shared" ca="1" si="12"/>
        <v>187.53630817960862</v>
      </c>
      <c r="I56" s="304">
        <f t="shared" ca="1" si="13"/>
        <v>192.13694432499139</v>
      </c>
      <c r="J56" s="306">
        <f t="shared" ca="1" si="14"/>
        <v>121.21361147959395</v>
      </c>
      <c r="K56" s="307">
        <f t="shared" ca="1" si="15"/>
        <v>591.15820397314349</v>
      </c>
      <c r="L56" s="304">
        <f t="shared" ca="1" si="0"/>
        <v>603.45734044145877</v>
      </c>
      <c r="M56" s="306">
        <f t="shared" ca="1" si="16"/>
        <v>1.3515214306820551</v>
      </c>
      <c r="N56" s="304">
        <f t="shared" ca="1" si="17"/>
        <v>77.436473899564604</v>
      </c>
      <c r="P56" s="310">
        <f t="shared" ca="1" si="18"/>
        <v>3</v>
      </c>
      <c r="Q56" s="304">
        <f t="shared" ca="1" si="19"/>
        <v>169.05172413793198</v>
      </c>
      <c r="R56" s="306">
        <f t="shared" ca="1" si="20"/>
        <v>8.9724166981379222E-2</v>
      </c>
      <c r="S56" s="307">
        <f t="shared" ca="1" si="21"/>
        <v>2.7029029921854582</v>
      </c>
      <c r="T56" s="304">
        <f t="shared" ca="1" si="1"/>
        <v>26.515478353339347</v>
      </c>
      <c r="U56" s="311">
        <f t="shared" ca="1" si="2"/>
        <v>0</v>
      </c>
      <c r="V56" s="306">
        <f t="shared" ca="1" si="3"/>
        <v>1.1546621595838771</v>
      </c>
      <c r="W56" s="304">
        <f t="shared" ca="1" si="4"/>
        <v>87.286998923257258</v>
      </c>
      <c r="Y56" s="314" t="str">
        <f t="shared" ca="1" si="22"/>
        <v/>
      </c>
      <c r="Z56" s="315" t="str">
        <f t="shared" ca="1" si="23"/>
        <v/>
      </c>
      <c r="AA56" s="316" t="str">
        <f t="shared" ca="1" si="24"/>
        <v/>
      </c>
      <c r="AC56" s="310" t="e">
        <f t="shared" ca="1" si="25"/>
        <v>#N/A</v>
      </c>
      <c r="AD56" s="323" t="e">
        <f t="shared" ca="1" si="26"/>
        <v>#N/A</v>
      </c>
      <c r="AE56" s="324">
        <f t="shared" ca="1" si="5"/>
        <v>591.15820397314349</v>
      </c>
      <c r="AG56" s="306">
        <f t="shared" ca="1" si="27"/>
        <v>20.738997831143166</v>
      </c>
      <c r="AH56" s="304">
        <f t="shared" ca="1" si="28"/>
        <v>30.314338432941941</v>
      </c>
    </row>
    <row r="57" spans="1:34" x14ac:dyDescent="0.2">
      <c r="A57" s="347">
        <f t="shared" ca="1" si="6"/>
        <v>0.01</v>
      </c>
      <c r="B57" s="304">
        <f t="shared" ca="1" si="7"/>
        <v>3.7299999999999889</v>
      </c>
      <c r="D57" s="306">
        <f t="shared" ca="1" si="8"/>
        <v>6.5129664633302724</v>
      </c>
      <c r="E57" s="307">
        <f t="shared" ca="1" si="9"/>
        <v>19.414713292160286</v>
      </c>
      <c r="F57" s="304">
        <f t="shared" ca="1" si="10"/>
        <v>20.478032727028495</v>
      </c>
      <c r="G57" s="306">
        <f t="shared" ca="1" si="11"/>
        <v>41.859130297591257</v>
      </c>
      <c r="H57" s="307">
        <f t="shared" ca="1" si="12"/>
        <v>187.73045531253024</v>
      </c>
      <c r="I57" s="304">
        <f t="shared" ca="1" si="13"/>
        <v>192.34061100329447</v>
      </c>
      <c r="J57" s="306">
        <f t="shared" ca="1" si="14"/>
        <v>121.63187713424669</v>
      </c>
      <c r="K57" s="307">
        <f t="shared" ca="1" si="15"/>
        <v>593.03453779060419</v>
      </c>
      <c r="L57" s="304">
        <f t="shared" ca="1" si="0"/>
        <v>605.3794484021704</v>
      </c>
      <c r="M57" s="306">
        <f t="shared" ca="1" si="16"/>
        <v>1.3514104873814035</v>
      </c>
      <c r="N57" s="304">
        <f t="shared" ca="1" si="17"/>
        <v>77.43011731667201</v>
      </c>
      <c r="P57" s="310">
        <f t="shared" ca="1" si="18"/>
        <v>3</v>
      </c>
      <c r="Q57" s="304">
        <f t="shared" ca="1" si="19"/>
        <v>168.18965517241475</v>
      </c>
      <c r="R57" s="306">
        <f t="shared" ca="1" si="20"/>
        <v>8.9266624059495606E-2</v>
      </c>
      <c r="S57" s="307">
        <f t="shared" ca="1" si="21"/>
        <v>2.7020103259448631</v>
      </c>
      <c r="T57" s="304">
        <f t="shared" ca="1" si="1"/>
        <v>26.506721297519107</v>
      </c>
      <c r="U57" s="311">
        <f t="shared" ca="1" si="2"/>
        <v>0</v>
      </c>
      <c r="V57" s="306">
        <f t="shared" ca="1" si="3"/>
        <v>1.1544453367268104</v>
      </c>
      <c r="W57" s="304">
        <f t="shared" ca="1" si="4"/>
        <v>87.455721266946156</v>
      </c>
      <c r="Y57" s="314" t="str">
        <f t="shared" ca="1" si="22"/>
        <v/>
      </c>
      <c r="Z57" s="315" t="str">
        <f t="shared" ca="1" si="23"/>
        <v/>
      </c>
      <c r="AA57" s="316" t="str">
        <f t="shared" ca="1" si="24"/>
        <v/>
      </c>
      <c r="AC57" s="310" t="e">
        <f t="shared" ca="1" si="25"/>
        <v>#N/A</v>
      </c>
      <c r="AD57" s="323" t="e">
        <f t="shared" ca="1" si="26"/>
        <v>#N/A</v>
      </c>
      <c r="AE57" s="324">
        <f t="shared" ca="1" si="5"/>
        <v>593.03453779060419</v>
      </c>
      <c r="AG57" s="306">
        <f t="shared" ca="1" si="27"/>
        <v>20.366549459895758</v>
      </c>
      <c r="AH57" s="304">
        <f t="shared" ca="1" si="28"/>
        <v>29.941653246964083</v>
      </c>
    </row>
    <row r="58" spans="1:34" x14ac:dyDescent="0.2">
      <c r="A58" s="347">
        <f t="shared" ca="1" si="6"/>
        <v>0.01</v>
      </c>
      <c r="B58" s="304">
        <f t="shared" ca="1" si="7"/>
        <v>3.7399999999999887</v>
      </c>
      <c r="D58" s="306">
        <f t="shared" ca="1" si="8"/>
        <v>6.4352999834528726</v>
      </c>
      <c r="E58" s="307">
        <f t="shared" ca="1" si="9"/>
        <v>19.051129874832711</v>
      </c>
      <c r="F58" s="304">
        <f t="shared" ca="1" si="10"/>
        <v>20.108670651854936</v>
      </c>
      <c r="G58" s="306">
        <f t="shared" ca="1" si="11"/>
        <v>41.923483297425783</v>
      </c>
      <c r="H58" s="307">
        <f t="shared" ca="1" si="12"/>
        <v>187.92096661127857</v>
      </c>
      <c r="I58" s="304">
        <f t="shared" ca="1" si="13"/>
        <v>192.54056233403603</v>
      </c>
      <c r="J58" s="306">
        <f t="shared" ca="1" si="14"/>
        <v>122.05079020222178</v>
      </c>
      <c r="K58" s="307">
        <f t="shared" ca="1" si="15"/>
        <v>594.91279490022328</v>
      </c>
      <c r="L58" s="304">
        <f t="shared" ca="1" si="0"/>
        <v>607.30357229723415</v>
      </c>
      <c r="M58" s="306">
        <f t="shared" ca="1" si="16"/>
        <v>1.3512996041224159</v>
      </c>
      <c r="N58" s="304">
        <f t="shared" ca="1" si="17"/>
        <v>77.423764173913369</v>
      </c>
      <c r="P58" s="310">
        <f t="shared" ca="1" si="18"/>
        <v>3</v>
      </c>
      <c r="Q58" s="304">
        <f t="shared" ca="1" si="19"/>
        <v>167.32758620689754</v>
      </c>
      <c r="R58" s="306">
        <f t="shared" ca="1" si="20"/>
        <v>8.8809081137611989E-2</v>
      </c>
      <c r="S58" s="307">
        <f t="shared" ca="1" si="21"/>
        <v>2.7011222351334871</v>
      </c>
      <c r="T58" s="304">
        <f t="shared" ca="1" si="1"/>
        <v>26.498009126659511</v>
      </c>
      <c r="U58" s="311">
        <f t="shared" ca="1" si="2"/>
        <v>0</v>
      </c>
      <c r="V58" s="306">
        <f t="shared" ca="1" si="3"/>
        <v>1.1542283311893182</v>
      </c>
      <c r="W58" s="304">
        <f t="shared" ca="1" si="4"/>
        <v>87.621174702325689</v>
      </c>
      <c r="Y58" s="314" t="str">
        <f t="shared" ca="1" si="22"/>
        <v/>
      </c>
      <c r="Z58" s="315" t="str">
        <f t="shared" ca="1" si="23"/>
        <v/>
      </c>
      <c r="AA58" s="316" t="str">
        <f t="shared" ca="1" si="24"/>
        <v/>
      </c>
      <c r="AC58" s="310" t="e">
        <f t="shared" ca="1" si="25"/>
        <v>#N/A</v>
      </c>
      <c r="AD58" s="323" t="e">
        <f t="shared" ca="1" si="26"/>
        <v>#N/A</v>
      </c>
      <c r="AE58" s="324">
        <f t="shared" ca="1" si="5"/>
        <v>594.91279490022328</v>
      </c>
      <c r="AG58" s="306">
        <f t="shared" ca="1" si="27"/>
        <v>19.995014708911686</v>
      </c>
      <c r="AH58" s="304">
        <f t="shared" ca="1" si="28"/>
        <v>29.569881696229189</v>
      </c>
    </row>
    <row r="59" spans="1:34" x14ac:dyDescent="0.2">
      <c r="A59" s="347">
        <f t="shared" ca="1" si="6"/>
        <v>0.01</v>
      </c>
      <c r="B59" s="304">
        <f t="shared" ca="1" si="7"/>
        <v>3.7499999999999885</v>
      </c>
      <c r="D59" s="306">
        <f t="shared" ca="1" si="8"/>
        <v>6.3577507737759174</v>
      </c>
      <c r="E59" s="307">
        <f t="shared" ca="1" si="9"/>
        <v>18.688459023678874</v>
      </c>
      <c r="F59" s="304">
        <f t="shared" ca="1" si="10"/>
        <v>19.740301304214498</v>
      </c>
      <c r="G59" s="306">
        <f t="shared" ca="1" si="11"/>
        <v>41.987060805163544</v>
      </c>
      <c r="H59" s="307">
        <f t="shared" ca="1" si="12"/>
        <v>188.10785120151536</v>
      </c>
      <c r="I59" s="304">
        <f t="shared" ca="1" si="13"/>
        <v>192.73680748291943</v>
      </c>
      <c r="J59" s="306">
        <f t="shared" ca="1" si="14"/>
        <v>122.47034292273473</v>
      </c>
      <c r="K59" s="307">
        <f t="shared" ca="1" si="15"/>
        <v>596.79293898928722</v>
      </c>
      <c r="L59" s="304">
        <f t="shared" ca="1" si="0"/>
        <v>609.22967501844767</v>
      </c>
      <c r="M59" s="306">
        <f t="shared" ca="1" si="16"/>
        <v>1.3511887786806589</v>
      </c>
      <c r="N59" s="304">
        <f t="shared" ca="1" si="17"/>
        <v>77.417414343838018</v>
      </c>
      <c r="P59" s="310">
        <f t="shared" ca="1" si="18"/>
        <v>3</v>
      </c>
      <c r="Q59" s="304">
        <f t="shared" ca="1" si="19"/>
        <v>166.46551724138033</v>
      </c>
      <c r="R59" s="306">
        <f t="shared" ca="1" si="20"/>
        <v>8.8351538215728387E-2</v>
      </c>
      <c r="S59" s="307">
        <f t="shared" ca="1" si="21"/>
        <v>2.7002387197513298</v>
      </c>
      <c r="T59" s="304">
        <f t="shared" ca="1" si="1"/>
        <v>26.489341840760545</v>
      </c>
      <c r="U59" s="311">
        <f t="shared" ca="1" si="2"/>
        <v>0</v>
      </c>
      <c r="V59" s="306">
        <f t="shared" ca="1" si="3"/>
        <v>1.1540111472764309</v>
      </c>
      <c r="W59" s="304">
        <f t="shared" ca="1" si="4"/>
        <v>87.783359083249223</v>
      </c>
      <c r="Y59" s="314" t="str">
        <f t="shared" ca="1" si="22"/>
        <v/>
      </c>
      <c r="Z59" s="315" t="str">
        <f t="shared" ca="1" si="23"/>
        <v/>
      </c>
      <c r="AA59" s="316" t="str">
        <f t="shared" ca="1" si="24"/>
        <v/>
      </c>
      <c r="AC59" s="310" t="e">
        <f t="shared" ca="1" si="25"/>
        <v>#N/A</v>
      </c>
      <c r="AD59" s="323" t="e">
        <f t="shared" ca="1" si="26"/>
        <v>#N/A</v>
      </c>
      <c r="AE59" s="324">
        <f t="shared" ca="1" si="5"/>
        <v>596.79293898928722</v>
      </c>
      <c r="AG59" s="306">
        <f t="shared" ca="1" si="27"/>
        <v>19.624396525981581</v>
      </c>
      <c r="AH59" s="304">
        <f t="shared" ca="1" si="28"/>
        <v>29.199026723946677</v>
      </c>
    </row>
    <row r="60" spans="1:34" x14ac:dyDescent="0.2">
      <c r="A60" s="347">
        <f t="shared" ca="1" si="6"/>
        <v>0.01</v>
      </c>
      <c r="B60" s="304">
        <f t="shared" ca="1" si="7"/>
        <v>3.7599999999999882</v>
      </c>
      <c r="D60" s="306">
        <f t="shared" ca="1" si="8"/>
        <v>6.2803198814133374</v>
      </c>
      <c r="E60" s="307">
        <f t="shared" ca="1" si="9"/>
        <v>18.326703429489257</v>
      </c>
      <c r="F60" s="304">
        <f t="shared" ca="1" si="10"/>
        <v>19.372931538756053</v>
      </c>
      <c r="G60" s="306">
        <f t="shared" ca="1" si="11"/>
        <v>42.049864003977675</v>
      </c>
      <c r="H60" s="307">
        <f t="shared" ca="1" si="12"/>
        <v>188.29111823581025</v>
      </c>
      <c r="I60" s="304">
        <f t="shared" ca="1" si="13"/>
        <v>192.92935564409291</v>
      </c>
      <c r="J60" s="306">
        <f t="shared" ca="1" si="14"/>
        <v>122.89052754678043</v>
      </c>
      <c r="K60" s="307">
        <f t="shared" ca="1" si="15"/>
        <v>598.67493383647388</v>
      </c>
      <c r="L60" s="304">
        <f t="shared" ca="1" si="0"/>
        <v>611.1577195494076</v>
      </c>
      <c r="M60" s="306">
        <f t="shared" ca="1" si="16"/>
        <v>1.3510780088459917</v>
      </c>
      <c r="N60" s="304">
        <f t="shared" ca="1" si="17"/>
        <v>77.411067699814225</v>
      </c>
      <c r="P60" s="310">
        <f t="shared" ca="1" si="18"/>
        <v>3</v>
      </c>
      <c r="Q60" s="304">
        <f t="shared" ca="1" si="19"/>
        <v>165.60344827586309</v>
      </c>
      <c r="R60" s="306">
        <f t="shared" ca="1" si="20"/>
        <v>8.7893995293844757E-2</v>
      </c>
      <c r="S60" s="307">
        <f t="shared" ca="1" si="21"/>
        <v>2.6993597797983915</v>
      </c>
      <c r="T60" s="304">
        <f t="shared" ca="1" si="1"/>
        <v>26.48071943982222</v>
      </c>
      <c r="U60" s="311">
        <f t="shared" ca="1" si="2"/>
        <v>0</v>
      </c>
      <c r="V60" s="306">
        <f t="shared" ca="1" si="3"/>
        <v>1.1537937892796204</v>
      </c>
      <c r="W60" s="304">
        <f t="shared" ca="1" si="4"/>
        <v>87.94227452479501</v>
      </c>
      <c r="Y60" s="314" t="str">
        <f t="shared" ca="1" si="22"/>
        <v/>
      </c>
      <c r="Z60" s="315" t="str">
        <f t="shared" ca="1" si="23"/>
        <v/>
      </c>
      <c r="AA60" s="316" t="str">
        <f t="shared" ca="1" si="24"/>
        <v/>
      </c>
      <c r="AC60" s="310" t="e">
        <f t="shared" ca="1" si="25"/>
        <v>#N/A</v>
      </c>
      <c r="AD60" s="323" t="e">
        <f t="shared" ca="1" si="26"/>
        <v>#N/A</v>
      </c>
      <c r="AE60" s="324">
        <f t="shared" ca="1" si="5"/>
        <v>598.67493383647388</v>
      </c>
      <c r="AG60" s="306">
        <f t="shared" ca="1" si="27"/>
        <v>19.254697755613321</v>
      </c>
      <c r="AH60" s="304">
        <f t="shared" ca="1" si="28"/>
        <v>28.829091170064796</v>
      </c>
    </row>
    <row r="61" spans="1:34" x14ac:dyDescent="0.2">
      <c r="A61" s="347">
        <f t="shared" ca="1" si="6"/>
        <v>0.01</v>
      </c>
      <c r="B61" s="304">
        <f t="shared" ca="1" si="7"/>
        <v>3.769999999999988</v>
      </c>
      <c r="D61" s="306">
        <f t="shared" ca="1" si="8"/>
        <v>6.2030083284290018</v>
      </c>
      <c r="E61" s="307">
        <f t="shared" ca="1" si="9"/>
        <v>17.965865683547932</v>
      </c>
      <c r="F61" s="304">
        <f t="shared" ca="1" si="10"/>
        <v>19.006568393106757</v>
      </c>
      <c r="G61" s="306">
        <f t="shared" ca="1" si="11"/>
        <v>42.111894087261966</v>
      </c>
      <c r="H61" s="307">
        <f t="shared" ca="1" si="12"/>
        <v>188.47077689264572</v>
      </c>
      <c r="I61" s="304">
        <f t="shared" ca="1" si="13"/>
        <v>193.11821603912514</v>
      </c>
      <c r="J61" s="306">
        <f t="shared" ca="1" si="14"/>
        <v>123.31133633723663</v>
      </c>
      <c r="K61" s="307">
        <f t="shared" ca="1" si="15"/>
        <v>600.55874331211612</v>
      </c>
      <c r="L61" s="304">
        <f t="shared" ca="1" si="0"/>
        <v>613.08766896578766</v>
      </c>
      <c r="M61" s="306">
        <f t="shared" ca="1" si="16"/>
        <v>1.350967292422268</v>
      </c>
      <c r="N61" s="304">
        <f t="shared" ca="1" si="17"/>
        <v>77.404724116012076</v>
      </c>
      <c r="P61" s="310">
        <f t="shared" ca="1" si="18"/>
        <v>3</v>
      </c>
      <c r="Q61" s="304">
        <f t="shared" ca="1" si="19"/>
        <v>164.74137931034588</v>
      </c>
      <c r="R61" s="306">
        <f t="shared" ca="1" si="20"/>
        <v>8.7436452371961154E-2</v>
      </c>
      <c r="S61" s="307">
        <f t="shared" ca="1" si="21"/>
        <v>2.6984854152746718</v>
      </c>
      <c r="T61" s="304">
        <f t="shared" ca="1" si="1"/>
        <v>26.472141923844532</v>
      </c>
      <c r="U61" s="311">
        <f t="shared" ca="1" si="2"/>
        <v>0</v>
      </c>
      <c r="V61" s="306">
        <f t="shared" ca="1" si="3"/>
        <v>1.1535762614767742</v>
      </c>
      <c r="W61" s="304">
        <f t="shared" ca="1" si="4"/>
        <v>88.097921400487607</v>
      </c>
      <c r="Y61" s="314" t="str">
        <f t="shared" ca="1" si="22"/>
        <v/>
      </c>
      <c r="Z61" s="315" t="str">
        <f t="shared" ca="1" si="23"/>
        <v/>
      </c>
      <c r="AA61" s="316" t="str">
        <f t="shared" ca="1" si="24"/>
        <v/>
      </c>
      <c r="AC61" s="310" t="e">
        <f t="shared" ca="1" si="25"/>
        <v>#N/A</v>
      </c>
      <c r="AD61" s="323" t="e">
        <f t="shared" ca="1" si="26"/>
        <v>#N/A</v>
      </c>
      <c r="AE61" s="324">
        <f t="shared" ca="1" si="5"/>
        <v>600.55874331211612</v>
      </c>
      <c r="AG61" s="306">
        <f t="shared" ca="1" si="27"/>
        <v>18.885921139845735</v>
      </c>
      <c r="AH61" s="304">
        <f t="shared" ca="1" si="28"/>
        <v>28.460077772083746</v>
      </c>
    </row>
    <row r="62" spans="1:34" x14ac:dyDescent="0.2">
      <c r="A62" s="347">
        <f t="shared" ca="1" si="6"/>
        <v>0.01</v>
      </c>
      <c r="B62" s="304">
        <f t="shared" ca="1" si="7"/>
        <v>3.7799999999999878</v>
      </c>
      <c r="D62" s="306">
        <f t="shared" ca="1" si="8"/>
        <v>6.1258171120121014</v>
      </c>
      <c r="E62" s="307">
        <f t="shared" ca="1" si="9"/>
        <v>17.605948278432088</v>
      </c>
      <c r="F62" s="304">
        <f t="shared" ca="1" si="10"/>
        <v>18.641219114442222</v>
      </c>
      <c r="G62" s="306">
        <f t="shared" ca="1" si="11"/>
        <v>42.173152258382089</v>
      </c>
      <c r="H62" s="307">
        <f t="shared" ca="1" si="12"/>
        <v>188.64683637543004</v>
      </c>
      <c r="I62" s="304">
        <f t="shared" ca="1" si="13"/>
        <v>193.30339791598843</v>
      </c>
      <c r="J62" s="306">
        <f t="shared" ca="1" si="14"/>
        <v>123.73276156896485</v>
      </c>
      <c r="K62" s="307">
        <f t="shared" ca="1" si="15"/>
        <v>602.44433137845647</v>
      </c>
      <c r="L62" s="304">
        <f t="shared" ca="1" si="0"/>
        <v>615.01948643560695</v>
      </c>
      <c r="M62" s="306">
        <f t="shared" ca="1" si="16"/>
        <v>1.3508566272270406</v>
      </c>
      <c r="N62" s="304">
        <f t="shared" ca="1" si="17"/>
        <v>77.398383467386552</v>
      </c>
      <c r="P62" s="310">
        <f t="shared" ca="1" si="18"/>
        <v>3</v>
      </c>
      <c r="Q62" s="304">
        <f t="shared" ca="1" si="19"/>
        <v>163.87931034482864</v>
      </c>
      <c r="R62" s="306">
        <f t="shared" ca="1" si="20"/>
        <v>8.6978909450077538E-2</v>
      </c>
      <c r="S62" s="307">
        <f t="shared" ca="1" si="21"/>
        <v>2.6976156261801711</v>
      </c>
      <c r="T62" s="304">
        <f t="shared" ca="1" si="1"/>
        <v>26.463609292827481</v>
      </c>
      <c r="U62" s="311">
        <f t="shared" ca="1" si="2"/>
        <v>0</v>
      </c>
      <c r="V62" s="306">
        <f t="shared" ca="1" si="3"/>
        <v>1.1533585681321694</v>
      </c>
      <c r="W62" s="304">
        <f t="shared" ca="1" si="4"/>
        <v>88.250300339519839</v>
      </c>
      <c r="Y62" s="314" t="str">
        <f t="shared" ca="1" si="22"/>
        <v/>
      </c>
      <c r="Z62" s="315" t="str">
        <f t="shared" ca="1" si="23"/>
        <v/>
      </c>
      <c r="AA62" s="316" t="str">
        <f t="shared" ca="1" si="24"/>
        <v/>
      </c>
      <c r="AC62" s="310" t="e">
        <f t="shared" ca="1" si="25"/>
        <v>#N/A</v>
      </c>
      <c r="AD62" s="323" t="e">
        <f t="shared" ca="1" si="26"/>
        <v>#N/A</v>
      </c>
      <c r="AE62" s="324">
        <f t="shared" ca="1" si="5"/>
        <v>602.44433137845647</v>
      </c>
      <c r="AG62" s="306">
        <f t="shared" ca="1" si="27"/>
        <v>18.518069319065695</v>
      </c>
      <c r="AH62" s="304">
        <f t="shared" ca="1" si="28"/>
        <v>28.091989165872242</v>
      </c>
    </row>
    <row r="63" spans="1:34" x14ac:dyDescent="0.2">
      <c r="A63" s="347">
        <f t="shared" ca="1" si="6"/>
        <v>0.01</v>
      </c>
      <c r="B63" s="304">
        <f t="shared" ca="1" si="7"/>
        <v>3.7899999999999876</v>
      </c>
      <c r="D63" s="306">
        <f t="shared" ca="1" si="8"/>
        <v>6.0487472046532442</v>
      </c>
      <c r="E63" s="307">
        <f t="shared" ca="1" si="9"/>
        <v>17.246953608815573</v>
      </c>
      <c r="F63" s="304">
        <f t="shared" ca="1" si="10"/>
        <v>18.276891188887593</v>
      </c>
      <c r="G63" s="306">
        <f t="shared" ca="1" si="11"/>
        <v>42.233639730428621</v>
      </c>
      <c r="H63" s="307">
        <f t="shared" ca="1" si="12"/>
        <v>188.8193059115182</v>
      </c>
      <c r="I63" s="304">
        <f t="shared" ca="1" si="13"/>
        <v>193.48491054805058</v>
      </c>
      <c r="J63" s="306">
        <f t="shared" ca="1" si="14"/>
        <v>124.15479552890891</v>
      </c>
      <c r="K63" s="307">
        <f t="shared" ca="1" si="15"/>
        <v>604.33166208989121</v>
      </c>
      <c r="L63" s="304">
        <f t="shared" ca="1" si="0"/>
        <v>616.95313521948776</v>
      </c>
      <c r="M63" s="306">
        <f t="shared" ca="1" si="16"/>
        <v>1.350746011091271</v>
      </c>
      <c r="N63" s="304">
        <f t="shared" ca="1" si="17"/>
        <v>77.392045629660913</v>
      </c>
      <c r="P63" s="310">
        <f t="shared" ca="1" si="18"/>
        <v>3</v>
      </c>
      <c r="Q63" s="304">
        <f t="shared" ca="1" si="19"/>
        <v>163.01724137931143</v>
      </c>
      <c r="R63" s="306">
        <f t="shared" ca="1" si="20"/>
        <v>8.6521366528193921E-2</v>
      </c>
      <c r="S63" s="307">
        <f t="shared" ca="1" si="21"/>
        <v>2.6967504125148891</v>
      </c>
      <c r="T63" s="304">
        <f t="shared" ca="1" si="1"/>
        <v>26.455121546771064</v>
      </c>
      <c r="U63" s="311">
        <f t="shared" ca="1" si="2"/>
        <v>0</v>
      </c>
      <c r="V63" s="306">
        <f t="shared" ca="1" si="3"/>
        <v>1.1531407134964524</v>
      </c>
      <c r="W63" s="304">
        <f t="shared" ca="1" si="4"/>
        <v>88.399412223977265</v>
      </c>
      <c r="Y63" s="314" t="str">
        <f t="shared" ca="1" si="22"/>
        <v/>
      </c>
      <c r="Z63" s="315" t="str">
        <f t="shared" ca="1" si="23"/>
        <v/>
      </c>
      <c r="AA63" s="316" t="str">
        <f t="shared" ca="1" si="24"/>
        <v/>
      </c>
      <c r="AC63" s="310" t="e">
        <f t="shared" ca="1" si="25"/>
        <v>#N/A</v>
      </c>
      <c r="AD63" s="323" t="e">
        <f t="shared" ca="1" si="26"/>
        <v>#N/A</v>
      </c>
      <c r="AE63" s="324">
        <f t="shared" ca="1" si="5"/>
        <v>604.33166208989121</v>
      </c>
      <c r="AG63" s="306">
        <f t="shared" ca="1" si="27"/>
        <v>18.151144832829452</v>
      </c>
      <c r="AH63" s="304">
        <f t="shared" ca="1" si="28"/>
        <v>27.724827886488288</v>
      </c>
    </row>
    <row r="64" spans="1:34" x14ac:dyDescent="0.2">
      <c r="A64" s="347">
        <f t="shared" ca="1" si="6"/>
        <v>0.01</v>
      </c>
      <c r="B64" s="304">
        <f t="shared" ca="1" si="7"/>
        <v>3.7999999999999874</v>
      </c>
      <c r="D64" s="306">
        <f t="shared" ca="1" si="8"/>
        <v>5.9717995543209872</v>
      </c>
      <c r="E64" s="307">
        <f t="shared" ca="1" si="9"/>
        <v>16.888883972275586</v>
      </c>
      <c r="F64" s="304">
        <f t="shared" ca="1" si="10"/>
        <v>17.913592374115684</v>
      </c>
      <c r="G64" s="306">
        <f t="shared" ca="1" si="11"/>
        <v>42.293357725971831</v>
      </c>
      <c r="H64" s="307">
        <f t="shared" ca="1" si="12"/>
        <v>188.98819475124097</v>
      </c>
      <c r="I64" s="304">
        <f t="shared" ca="1" si="13"/>
        <v>193.66276323307483</v>
      </c>
      <c r="J64" s="306">
        <f t="shared" ca="1" si="14"/>
        <v>124.5774305161909</v>
      </c>
      <c r="K64" s="307">
        <f t="shared" ca="1" si="15"/>
        <v>606.22069959320504</v>
      </c>
      <c r="L64" s="304">
        <f t="shared" ca="1" si="0"/>
        <v>618.88857867090371</v>
      </c>
      <c r="M64" s="306">
        <f t="shared" ca="1" si="16"/>
        <v>1.3506354418590432</v>
      </c>
      <c r="N64" s="304">
        <f t="shared" ca="1" si="17"/>
        <v>77.385710479310262</v>
      </c>
      <c r="P64" s="310">
        <f t="shared" ca="1" si="18"/>
        <v>3</v>
      </c>
      <c r="Q64" s="304">
        <f t="shared" ca="1" si="19"/>
        <v>162.15517241379419</v>
      </c>
      <c r="R64" s="306">
        <f t="shared" ca="1" si="20"/>
        <v>8.6063823606310305E-2</v>
      </c>
      <c r="S64" s="307">
        <f t="shared" ca="1" si="21"/>
        <v>2.6958897742788261</v>
      </c>
      <c r="T64" s="304">
        <f t="shared" ca="1" si="1"/>
        <v>26.446678685675288</v>
      </c>
      <c r="U64" s="311">
        <f t="shared" ca="1" si="2"/>
        <v>0</v>
      </c>
      <c r="V64" s="306">
        <f t="shared" ca="1" si="3"/>
        <v>1.1529227018066115</v>
      </c>
      <c r="W64" s="304">
        <f t="shared" ca="1" si="4"/>
        <v>88.545258186064487</v>
      </c>
      <c r="Y64" s="314" t="str">
        <f t="shared" ca="1" si="22"/>
        <v/>
      </c>
      <c r="Z64" s="315" t="str">
        <f t="shared" ca="1" si="23"/>
        <v/>
      </c>
      <c r="AA64" s="316" t="str">
        <f t="shared" ca="1" si="24"/>
        <v/>
      </c>
      <c r="AC64" s="310" t="e">
        <f t="shared" ca="1" si="25"/>
        <v>#N/A</v>
      </c>
      <c r="AD64" s="323" t="e">
        <f t="shared" ca="1" si="26"/>
        <v>#N/A</v>
      </c>
      <c r="AE64" s="324">
        <f t="shared" ca="1" si="5"/>
        <v>606.22069959320504</v>
      </c>
      <c r="AG64" s="306">
        <f t="shared" ca="1" si="27"/>
        <v>17.785150120686957</v>
      </c>
      <c r="AH64" s="304">
        <f t="shared" ca="1" si="28"/>
        <v>27.358596369002967</v>
      </c>
    </row>
    <row r="65" spans="1:34" x14ac:dyDescent="0.2">
      <c r="A65" s="347">
        <f t="shared" ca="1" si="6"/>
        <v>0.01</v>
      </c>
      <c r="B65" s="304">
        <f t="shared" ca="1" si="7"/>
        <v>3.8099999999999872</v>
      </c>
      <c r="D65" s="306">
        <f t="shared" ca="1" si="8"/>
        <v>5.8949750846389559</v>
      </c>
      <c r="E65" s="307">
        <f t="shared" ca="1" si="9"/>
        <v>16.531741570102774</v>
      </c>
      <c r="F65" s="304">
        <f t="shared" ca="1" si="10"/>
        <v>17.551330735564701</v>
      </c>
      <c r="G65" s="306">
        <f t="shared" ca="1" si="11"/>
        <v>42.352307476818218</v>
      </c>
      <c r="H65" s="307">
        <f t="shared" ca="1" si="12"/>
        <v>189.15351216694199</v>
      </c>
      <c r="I65" s="304">
        <f t="shared" ca="1" si="13"/>
        <v>193.83696529222806</v>
      </c>
      <c r="J65" s="306">
        <f t="shared" ca="1" si="14"/>
        <v>125.00065884220486</v>
      </c>
      <c r="K65" s="307">
        <f t="shared" ca="1" si="15"/>
        <v>608.11140812779593</v>
      </c>
      <c r="L65" s="304">
        <f t="shared" ca="1" si="0"/>
        <v>620.82578023641713</v>
      </c>
      <c r="M65" s="306">
        <f t="shared" ca="1" si="16"/>
        <v>1.3505249173872811</v>
      </c>
      <c r="N65" s="304">
        <f t="shared" ca="1" si="17"/>
        <v>77.379377893545382</v>
      </c>
      <c r="P65" s="310">
        <f t="shared" ca="1" si="18"/>
        <v>3</v>
      </c>
      <c r="Q65" s="304">
        <f t="shared" ca="1" si="19"/>
        <v>161.29310344827698</v>
      </c>
      <c r="R65" s="306">
        <f t="shared" ca="1" si="20"/>
        <v>8.5606280684426689E-2</v>
      </c>
      <c r="S65" s="307">
        <f t="shared" ca="1" si="21"/>
        <v>2.6950337114719818</v>
      </c>
      <c r="T65" s="304">
        <f t="shared" ca="1" si="1"/>
        <v>26.438280709540141</v>
      </c>
      <c r="U65" s="311">
        <f t="shared" ca="1" si="2"/>
        <v>0</v>
      </c>
      <c r="V65" s="306">
        <f t="shared" ca="1" si="3"/>
        <v>1.1527045372859595</v>
      </c>
      <c r="W65" s="304">
        <f t="shared" ca="1" si="4"/>
        <v>88.687839605334787</v>
      </c>
      <c r="Y65" s="314" t="str">
        <f t="shared" ca="1" si="22"/>
        <v/>
      </c>
      <c r="Z65" s="315" t="str">
        <f t="shared" ca="1" si="23"/>
        <v/>
      </c>
      <c r="AA65" s="316" t="str">
        <f t="shared" ca="1" si="24"/>
        <v/>
      </c>
      <c r="AC65" s="310" t="e">
        <f t="shared" ca="1" si="25"/>
        <v>#N/A</v>
      </c>
      <c r="AD65" s="323" t="e">
        <f t="shared" ca="1" si="26"/>
        <v>#N/A</v>
      </c>
      <c r="AE65" s="324">
        <f t="shared" ca="1" si="5"/>
        <v>608.11140812779593</v>
      </c>
      <c r="AG65" s="306">
        <f t="shared" ca="1" si="27"/>
        <v>17.420087523009844</v>
      </c>
      <c r="AH65" s="304">
        <f t="shared" ca="1" si="28"/>
        <v>26.993296949327899</v>
      </c>
    </row>
    <row r="66" spans="1:34" x14ac:dyDescent="0.2">
      <c r="A66" s="347">
        <f t="shared" ca="1" si="6"/>
        <v>0.01</v>
      </c>
      <c r="B66" s="304">
        <f t="shared" ca="1" si="7"/>
        <v>3.819999999999987</v>
      </c>
      <c r="D66" s="306">
        <f t="shared" ca="1" si="8"/>
        <v>5.8182746950633506</v>
      </c>
      <c r="E66" s="307">
        <f t="shared" ca="1" si="9"/>
        <v>16.175528508114148</v>
      </c>
      <c r="F66" s="304">
        <f t="shared" ca="1" si="10"/>
        <v>17.190114686761927</v>
      </c>
      <c r="G66" s="306">
        <f t="shared" ca="1" si="11"/>
        <v>42.410490223768853</v>
      </c>
      <c r="H66" s="307">
        <f t="shared" ca="1" si="12"/>
        <v>189.31526745202314</v>
      </c>
      <c r="I66" s="304">
        <f t="shared" ca="1" si="13"/>
        <v>194.00752606909725</v>
      </c>
      <c r="J66" s="306">
        <f t="shared" ca="1" si="14"/>
        <v>125.42447283070778</v>
      </c>
      <c r="K66" s="307">
        <f t="shared" ca="1" si="15"/>
        <v>610.00375202589078</v>
      </c>
      <c r="L66" s="304">
        <f t="shared" ca="1" si="0"/>
        <v>622.76470345590837</v>
      </c>
      <c r="M66" s="306">
        <f t="shared" ca="1" si="16"/>
        <v>1.350414435545471</v>
      </c>
      <c r="N66" s="304">
        <f t="shared" ca="1" si="17"/>
        <v>77.373047750296834</v>
      </c>
      <c r="P66" s="310">
        <f t="shared" ca="1" si="18"/>
        <v>3</v>
      </c>
      <c r="Q66" s="304">
        <f t="shared" ca="1" si="19"/>
        <v>160.43103448275974</v>
      </c>
      <c r="R66" s="306">
        <f t="shared" ca="1" si="20"/>
        <v>8.5148737762543072E-2</v>
      </c>
      <c r="S66" s="307">
        <f t="shared" ca="1" si="21"/>
        <v>2.6941822240943565</v>
      </c>
      <c r="T66" s="304">
        <f t="shared" ca="1" si="1"/>
        <v>26.429927618365639</v>
      </c>
      <c r="U66" s="311">
        <f t="shared" ca="1" si="2"/>
        <v>0</v>
      </c>
      <c r="V66" s="306">
        <f t="shared" ca="1" si="3"/>
        <v>1.1524862241441112</v>
      </c>
      <c r="W66" s="304">
        <f t="shared" ca="1" si="4"/>
        <v>88.827158105922777</v>
      </c>
      <c r="Y66" s="314" t="str">
        <f t="shared" ca="1" si="22"/>
        <v/>
      </c>
      <c r="Z66" s="315" t="str">
        <f t="shared" ca="1" si="23"/>
        <v/>
      </c>
      <c r="AA66" s="316" t="str">
        <f t="shared" ca="1" si="24"/>
        <v/>
      </c>
      <c r="AC66" s="310" t="e">
        <f t="shared" ca="1" si="25"/>
        <v>#N/A</v>
      </c>
      <c r="AD66" s="323" t="e">
        <f t="shared" ca="1" si="26"/>
        <v>#N/A</v>
      </c>
      <c r="AE66" s="324">
        <f t="shared" ca="1" si="5"/>
        <v>610.00375202589078</v>
      </c>
      <c r="AG66" s="306">
        <f t="shared" ca="1" si="27"/>
        <v>17.055959281822073</v>
      </c>
      <c r="AH66" s="304">
        <f t="shared" ca="1" si="28"/>
        <v>26.628931865045349</v>
      </c>
    </row>
    <row r="67" spans="1:34" x14ac:dyDescent="0.2">
      <c r="A67" s="347">
        <f t="shared" ca="1" si="6"/>
        <v>0.01</v>
      </c>
      <c r="B67" s="304">
        <f t="shared" ca="1" si="7"/>
        <v>3.8299999999999867</v>
      </c>
      <c r="D67" s="306">
        <f t="shared" ca="1" si="8"/>
        <v>5.6752194551171691</v>
      </c>
      <c r="E67" s="307">
        <f t="shared" ca="1" si="9"/>
        <v>15.523489033623205</v>
      </c>
      <c r="F67" s="304">
        <f t="shared" ca="1" si="10"/>
        <v>16.528364336520426</v>
      </c>
      <c r="G67" s="306">
        <f t="shared" ca="1" si="11"/>
        <v>42.467242418320026</v>
      </c>
      <c r="H67" s="307">
        <f t="shared" ca="1" si="12"/>
        <v>189.47050234235937</v>
      </c>
      <c r="I67" s="304">
        <f t="shared" ca="1" si="13"/>
        <v>194.17141379843318</v>
      </c>
      <c r="J67" s="306">
        <f t="shared" ca="1" si="14"/>
        <v>125.84886149391824</v>
      </c>
      <c r="K67" s="307">
        <f t="shared" ca="1" si="15"/>
        <v>611.89768087486266</v>
      </c>
      <c r="L67" s="304">
        <f t="shared" ca="1" si="0"/>
        <v>624.70529675948058</v>
      </c>
      <c r="M67" s="306">
        <f t="shared" ca="1" si="16"/>
        <v>1.3503039924856444</v>
      </c>
      <c r="N67" s="304">
        <f t="shared" ca="1" si="17"/>
        <v>77.366719829092247</v>
      </c>
      <c r="P67" s="310">
        <f t="shared" ca="1" si="18"/>
        <v>4</v>
      </c>
      <c r="Q67" s="304">
        <f t="shared" ca="1" si="19"/>
        <v>158.75000000000333</v>
      </c>
      <c r="R67" s="306">
        <f t="shared" ca="1" si="20"/>
        <v>8.4256529064871175E-2</v>
      </c>
      <c r="S67" s="307">
        <f t="shared" ca="1" si="21"/>
        <v>2.693339658803708</v>
      </c>
      <c r="T67" s="304">
        <f t="shared" ca="1" si="1"/>
        <v>26.421662052864377</v>
      </c>
      <c r="U67" s="311">
        <f t="shared" ca="1" si="2"/>
        <v>0</v>
      </c>
      <c r="V67" s="306">
        <f t="shared" ca="1" si="3"/>
        <v>1.1522677682882918</v>
      </c>
      <c r="W67" s="304">
        <f t="shared" ca="1" si="4"/>
        <v>88.96042905148046</v>
      </c>
      <c r="Y67" s="314" t="str">
        <f t="shared" ca="1" si="22"/>
        <v/>
      </c>
      <c r="Z67" s="315" t="str">
        <f t="shared" ca="1" si="23"/>
        <v/>
      </c>
      <c r="AA67" s="316" t="str">
        <f t="shared" ca="1" si="24"/>
        <v/>
      </c>
      <c r="AC67" s="310" t="e">
        <f t="shared" ca="1" si="25"/>
        <v>#N/A</v>
      </c>
      <c r="AD67" s="323" t="e">
        <f t="shared" ca="1" si="26"/>
        <v>#N/A</v>
      </c>
      <c r="AE67" s="324">
        <f t="shared" ca="1" si="5"/>
        <v>611.89768087486266</v>
      </c>
      <c r="AG67" s="306">
        <f t="shared" ca="1" si="27"/>
        <v>16.388654511657982</v>
      </c>
      <c r="AH67" s="304">
        <f t="shared" ca="1" si="28"/>
        <v>25.961390226265763</v>
      </c>
    </row>
    <row r="68" spans="1:34" x14ac:dyDescent="0.2">
      <c r="A68" s="347">
        <f t="shared" ca="1" si="6"/>
        <v>0.01</v>
      </c>
      <c r="B68" s="304">
        <f t="shared" ca="1" si="7"/>
        <v>3.8399999999999865</v>
      </c>
      <c r="D68" s="306">
        <f t="shared" ca="1" si="8"/>
        <v>5.465868062209311</v>
      </c>
      <c r="E68" s="307">
        <f t="shared" ca="1" si="9"/>
        <v>14.57634365006704</v>
      </c>
      <c r="F68" s="304">
        <f t="shared" ca="1" si="10"/>
        <v>15.567450269017385</v>
      </c>
      <c r="G68" s="306">
        <f t="shared" ca="1" si="11"/>
        <v>42.521901098942116</v>
      </c>
      <c r="H68" s="307">
        <f t="shared" ca="1" si="12"/>
        <v>189.61626577886003</v>
      </c>
      <c r="I68" s="304">
        <f t="shared" ca="1" si="13"/>
        <v>194.32560387398132</v>
      </c>
      <c r="J68" s="306">
        <f t="shared" ca="1" si="14"/>
        <v>126.27380721150455</v>
      </c>
      <c r="K68" s="307">
        <f t="shared" ca="1" si="15"/>
        <v>613.79311471546873</v>
      </c>
      <c r="L68" s="304">
        <f t="shared" ref="L68:L131" ca="1" si="29">SQRT(pos_x^2+pos_z^2)</f>
        <v>626.64747830004444</v>
      </c>
      <c r="M68" s="306">
        <f t="shared" ca="1" si="16"/>
        <v>1.3501935826532063</v>
      </c>
      <c r="N68" s="304">
        <f t="shared" ca="1" si="17"/>
        <v>77.360393811676801</v>
      </c>
      <c r="P68" s="310">
        <f t="shared" ca="1" si="18"/>
        <v>4</v>
      </c>
      <c r="Q68" s="304">
        <f t="shared" ca="1" si="19"/>
        <v>156.25000000000338</v>
      </c>
      <c r="R68" s="306">
        <f t="shared" ca="1" si="20"/>
        <v>8.2929654591408691E-2</v>
      </c>
      <c r="S68" s="307">
        <f t="shared" ca="1" si="21"/>
        <v>2.6925103622577939</v>
      </c>
      <c r="T68" s="304">
        <f t="shared" ref="T68:T131" ca="1" si="30">m*g</f>
        <v>26.41352665374896</v>
      </c>
      <c r="U68" s="311">
        <f t="shared" ref="U68:U131" ca="1" si="31">IF(pos_xz&lt;L_rampe,Poids*COS(Beta),0)</f>
        <v>0</v>
      </c>
      <c r="V68" s="306">
        <f t="shared" ref="V68:V131" ca="1" si="32">Rho_moyen*(20000-Alt_rampe-pos_z)/(20000+Alt_rampe+pos_z)</f>
        <v>1.1520491790286089</v>
      </c>
      <c r="W68" s="304">
        <f t="shared" ref="W68:W131" ca="1" si="33">1/2*Rho*Sref*Cx*vit_xz^2</f>
        <v>89.084867858370458</v>
      </c>
      <c r="Y68" s="314" t="str">
        <f t="shared" ca="1" si="22"/>
        <v/>
      </c>
      <c r="Z68" s="315" t="str">
        <f t="shared" ca="1" si="23"/>
        <v/>
      </c>
      <c r="AA68" s="316" t="str">
        <f t="shared" ca="1" si="24"/>
        <v/>
      </c>
      <c r="AC68" s="310" t="e">
        <f t="shared" ca="1" si="25"/>
        <v>#N/A</v>
      </c>
      <c r="AD68" s="323" t="e">
        <f t="shared" ca="1" si="26"/>
        <v>#N/A</v>
      </c>
      <c r="AE68" s="324">
        <f t="shared" ref="AE68:AE131" ca="1" si="34">IF(t&lt;T_para, pos_z, NA())</f>
        <v>613.79311471546873</v>
      </c>
      <c r="AG68" s="306">
        <f t="shared" ca="1" si="27"/>
        <v>15.418889110141592</v>
      </c>
      <c r="AH68" s="304">
        <f t="shared" ca="1" si="28"/>
        <v>24.991387922495317</v>
      </c>
    </row>
    <row r="69" spans="1:34" x14ac:dyDescent="0.2">
      <c r="A69" s="347">
        <f t="shared" ref="A69:A132" ca="1" si="35">IF(B68+0.01&lt;=T_ini+ROUNDUP(Temps_fin_propu,0), 0.01, IF(K68&gt;0, 0.1, 0.0001))</f>
        <v>0.01</v>
      </c>
      <c r="B69" s="304">
        <f t="shared" ref="B69:B132" ca="1" si="36">B68+pas</f>
        <v>3.8499999999999863</v>
      </c>
      <c r="D69" s="306">
        <f t="shared" ref="D69:D132" ca="1" si="37">IF(AND(L68&lt;L_rampe,Poussee&lt;Poids*SIN(M68)),0,(-W68+Poussee)/m*COS(M68)-U68/m*SIN(M68))</f>
        <v>5.2568680487515733</v>
      </c>
      <c r="E69" s="307">
        <f t="shared" ref="E69:E132" ca="1" si="38">IF(AND(L68&lt;L_rampe,Poussee&lt;Poids*SIN(M68)),0,(-W68+Poussee)/m*SIN(M68)+U68/m*COS(M68)-Poids/m)</f>
        <v>13.6317479777562</v>
      </c>
      <c r="F69" s="304">
        <f t="shared" ref="F69:F132" ca="1" si="39">SQRT(acc_x^2+acc_z^2)</f>
        <v>14.610243482264265</v>
      </c>
      <c r="G69" s="306">
        <f t="shared" ref="G69:G132" ca="1" si="40">G68+acc_x*pas</f>
        <v>42.574469779429634</v>
      </c>
      <c r="H69" s="307">
        <f t="shared" ref="H69:H132" ca="1" si="41">H68+acc_z*pas</f>
        <v>189.7525832586376</v>
      </c>
      <c r="I69" s="304">
        <f t="shared" ref="I69:I132" ca="1" si="42">SQRT(vit_x^2+vit_z^2)</f>
        <v>194.47012194762917</v>
      </c>
      <c r="J69" s="306">
        <f t="shared" ref="J69:J132" ca="1" si="43">J68+0.5*(vit_x+G68)*pas*(K68&gt;=0)</f>
        <v>126.69928906589641</v>
      </c>
      <c r="K69" s="307">
        <f t="shared" ref="K69:K132" ca="1" si="44">K68+0.5*(vit_z+H68)*pas</f>
        <v>615.68995896065621</v>
      </c>
      <c r="L69" s="304">
        <f t="shared" ca="1" si="29"/>
        <v>628.59115123805088</v>
      </c>
      <c r="M69" s="306">
        <f t="shared" ref="M69:M132" ca="1" si="45">IF(AND(L68&gt;L_rampe,G69&gt;0),ATAN2(G69,H69),$M$4)</f>
        <v>1.3500832005235699</v>
      </c>
      <c r="N69" s="304">
        <f t="shared" ref="N69:N132" ca="1" si="46">DEGREES(Beta)</f>
        <v>77.354069381514975</v>
      </c>
      <c r="P69" s="310">
        <f t="shared" ref="P69:P132" ca="1" si="47">MATCH(t-pas/2-T_ini,CdP_t)</f>
        <v>4</v>
      </c>
      <c r="Q69" s="304">
        <f t="shared" ref="Q69:Q132" ca="1" si="48">(INDEX(CdP,2,i_P+1)-INDEX(CdP,2,i_P+0))/(INDEX(CdP,1,i_P+1)-INDEX(CdP,1,i_P+0))*(t-pas/2-T_ini-INDEX(CdP,1,i_P+0))+INDEX(CdP,2,i_P+0)</f>
        <v>153.75000000000344</v>
      </c>
      <c r="R69" s="306">
        <f t="shared" ref="R69:R132" ca="1" si="49">Poussee/(g*ISP)</f>
        <v>8.1602780117946208E-2</v>
      </c>
      <c r="S69" s="307">
        <f t="shared" ref="S69:S132" ca="1" si="50">S68-Débit*pas</f>
        <v>2.6916943344566144</v>
      </c>
      <c r="T69" s="304">
        <f t="shared" ca="1" si="30"/>
        <v>26.40552142101939</v>
      </c>
      <c r="U69" s="311">
        <f t="shared" ca="1" si="31"/>
        <v>0</v>
      </c>
      <c r="V69" s="306">
        <f t="shared" ca="1" si="32"/>
        <v>1.1518304673548918</v>
      </c>
      <c r="W69" s="304">
        <f t="shared" ca="1" si="33"/>
        <v>89.200482689004403</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615.68995896065621</v>
      </c>
      <c r="AG69" s="306">
        <f t="shared" ref="AG69:AG132" ca="1" si="56">IF(AND(L68&lt;L_rampe,Poussee&lt;Poids*SIN(M68)),0,(-W68+Poussee)/m-Poids*SIN(M68)/m)</f>
        <v>14.451688891501108</v>
      </c>
      <c r="AH69" s="304">
        <f t="shared" ref="AH69:AH132" ca="1" si="57">IF(AND(L68&lt;L_rampe,Poussee&lt;Poids*SIN(M68)), g*SIN(M68), (-W68+Poussee)/m)</f>
        <v>24.023950756164609</v>
      </c>
    </row>
    <row r="70" spans="1:34" x14ac:dyDescent="0.2">
      <c r="A70" s="347">
        <f t="shared" ca="1" si="35"/>
        <v>0.01</v>
      </c>
      <c r="B70" s="304">
        <f t="shared" ca="1" si="36"/>
        <v>3.8599999999999861</v>
      </c>
      <c r="D70" s="306">
        <f t="shared" ca="1" si="37"/>
        <v>5.0482234499036949</v>
      </c>
      <c r="E70" s="307">
        <f t="shared" ca="1" si="38"/>
        <v>12.689715098011279</v>
      </c>
      <c r="F70" s="304">
        <f t="shared" ca="1" si="39"/>
        <v>13.656991955363118</v>
      </c>
      <c r="G70" s="306">
        <f t="shared" ca="1" si="40"/>
        <v>42.62495201392867</v>
      </c>
      <c r="H70" s="307">
        <f t="shared" ca="1" si="41"/>
        <v>189.87948040961771</v>
      </c>
      <c r="I70" s="304">
        <f t="shared" ca="1" si="42"/>
        <v>194.60499380749746</v>
      </c>
      <c r="J70" s="306">
        <f t="shared" ca="1" si="43"/>
        <v>127.12528617486321</v>
      </c>
      <c r="K70" s="307">
        <f t="shared" ca="1" si="44"/>
        <v>617.58811927899751</v>
      </c>
      <c r="L70" s="304">
        <f t="shared" ca="1" si="29"/>
        <v>630.53621899111408</v>
      </c>
      <c r="M70" s="306">
        <f t="shared" ca="1" si="45"/>
        <v>1.3499728406004929</v>
      </c>
      <c r="N70" s="304">
        <f t="shared" ca="1" si="46"/>
        <v>77.347746223695268</v>
      </c>
      <c r="P70" s="310">
        <f t="shared" ca="1" si="47"/>
        <v>4</v>
      </c>
      <c r="Q70" s="304">
        <f t="shared" ca="1" si="48"/>
        <v>151.2500000000035</v>
      </c>
      <c r="R70" s="306">
        <f t="shared" ca="1" si="49"/>
        <v>8.0275905644483739E-2</v>
      </c>
      <c r="S70" s="307">
        <f t="shared" ca="1" si="50"/>
        <v>2.6908915754001694</v>
      </c>
      <c r="T70" s="304">
        <f t="shared" ca="1" si="30"/>
        <v>26.397646354675665</v>
      </c>
      <c r="U70" s="311">
        <f t="shared" ca="1" si="31"/>
        <v>0</v>
      </c>
      <c r="V70" s="306">
        <f t="shared" ca="1" si="32"/>
        <v>1.1516116442194959</v>
      </c>
      <c r="W70" s="304">
        <f t="shared" ca="1" si="33"/>
        <v>89.307283232837861</v>
      </c>
      <c r="Y70" s="314" t="str">
        <f t="shared" ca="1" si="51"/>
        <v/>
      </c>
      <c r="Z70" s="315" t="str">
        <f t="shared" ca="1" si="52"/>
        <v/>
      </c>
      <c r="AA70" s="316" t="str">
        <f t="shared" ca="1" si="53"/>
        <v/>
      </c>
      <c r="AC70" s="310" t="e">
        <f t="shared" ca="1" si="54"/>
        <v>#N/A</v>
      </c>
      <c r="AD70" s="323" t="e">
        <f t="shared" ca="1" si="55"/>
        <v>#N/A</v>
      </c>
      <c r="AE70" s="324">
        <f t="shared" ca="1" si="34"/>
        <v>617.58811927899751</v>
      </c>
      <c r="AG70" s="306">
        <f t="shared" ca="1" si="56"/>
        <v>13.487067479074433</v>
      </c>
      <c r="AH70" s="304">
        <f t="shared" ca="1" si="57"/>
        <v>23.059092338854846</v>
      </c>
    </row>
    <row r="71" spans="1:34" x14ac:dyDescent="0.2">
      <c r="A71" s="347">
        <f t="shared" ca="1" si="35"/>
        <v>0.01</v>
      </c>
      <c r="B71" s="304">
        <f t="shared" ca="1" si="36"/>
        <v>3.8699999999999859</v>
      </c>
      <c r="D71" s="306">
        <f t="shared" ca="1" si="37"/>
        <v>4.7788646608879874</v>
      </c>
      <c r="E71" s="307">
        <f t="shared" ca="1" si="38"/>
        <v>11.47819613593415</v>
      </c>
      <c r="F71" s="304">
        <f t="shared" ca="1" si="39"/>
        <v>12.433283314638082</v>
      </c>
      <c r="G71" s="306">
        <f t="shared" ca="1" si="40"/>
        <v>42.672740660537549</v>
      </c>
      <c r="H71" s="307">
        <f t="shared" ca="1" si="41"/>
        <v>189.99426237097705</v>
      </c>
      <c r="I71" s="304">
        <f t="shared" ca="1" si="42"/>
        <v>194.72745705054837</v>
      </c>
      <c r="J71" s="306">
        <f t="shared" ca="1" si="43"/>
        <v>127.55177463823554</v>
      </c>
      <c r="K71" s="307">
        <f t="shared" ca="1" si="44"/>
        <v>619.48748799290047</v>
      </c>
      <c r="L71" s="304">
        <f t="shared" ca="1" si="29"/>
        <v>632.4825712959348</v>
      </c>
      <c r="M71" s="306">
        <f t="shared" ca="1" si="45"/>
        <v>1.3498624958344241</v>
      </c>
      <c r="N71" s="304">
        <f t="shared" ca="1" si="46"/>
        <v>77.341423934308168</v>
      </c>
      <c r="P71" s="310">
        <f t="shared" ca="1" si="47"/>
        <v>5</v>
      </c>
      <c r="Q71" s="304">
        <f t="shared" ca="1" si="48"/>
        <v>148.00000000000568</v>
      </c>
      <c r="R71" s="306">
        <f t="shared" ca="1" si="49"/>
        <v>7.8550968828983631E-2</v>
      </c>
      <c r="S71" s="307">
        <f t="shared" ca="1" si="50"/>
        <v>2.6901060657118796</v>
      </c>
      <c r="T71" s="304">
        <f t="shared" ca="1" si="30"/>
        <v>26.38994050463354</v>
      </c>
      <c r="U71" s="311">
        <f t="shared" ca="1" si="31"/>
        <v>0</v>
      </c>
      <c r="V71" s="306">
        <f t="shared" ca="1" si="32"/>
        <v>1.1513927221049303</v>
      </c>
      <c r="W71" s="304">
        <f t="shared" ca="1" si="33"/>
        <v>89.402720458176972</v>
      </c>
      <c r="Y71" s="314" t="str">
        <f t="shared" ca="1" si="51"/>
        <v/>
      </c>
      <c r="Z71" s="315" t="str">
        <f t="shared" ca="1" si="52"/>
        <v/>
      </c>
      <c r="AA71" s="316" t="str">
        <f t="shared" ca="1" si="53"/>
        <v/>
      </c>
      <c r="AC71" s="310" t="e">
        <f t="shared" ca="1" si="54"/>
        <v>#N/A</v>
      </c>
      <c r="AD71" s="323" t="e">
        <f t="shared" ca="1" si="55"/>
        <v>#N/A</v>
      </c>
      <c r="AE71" s="324">
        <f t="shared" ca="1" si="34"/>
        <v>619.48748799290047</v>
      </c>
      <c r="AG71" s="306">
        <f t="shared" ca="1" si="56"/>
        <v>12.246205755334799</v>
      </c>
      <c r="AH71" s="304">
        <f t="shared" ca="1" si="57"/>
        <v>21.817993541320103</v>
      </c>
    </row>
    <row r="72" spans="1:34" x14ac:dyDescent="0.2">
      <c r="A72" s="347">
        <f t="shared" ca="1" si="35"/>
        <v>0.01</v>
      </c>
      <c r="B72" s="304">
        <f t="shared" ca="1" si="36"/>
        <v>3.8799999999999857</v>
      </c>
      <c r="D72" s="306">
        <f t="shared" ca="1" si="37"/>
        <v>4.4488559862258352</v>
      </c>
      <c r="E72" s="307">
        <f t="shared" ca="1" si="38"/>
        <v>9.9978937142031636</v>
      </c>
      <c r="F72" s="304">
        <f t="shared" ca="1" si="39"/>
        <v>10.943043374979402</v>
      </c>
      <c r="G72" s="306">
        <f t="shared" ca="1" si="40"/>
        <v>42.717229220399808</v>
      </c>
      <c r="H72" s="307">
        <f t="shared" ca="1" si="41"/>
        <v>190.09424130811908</v>
      </c>
      <c r="I72" s="304">
        <f t="shared" ca="1" si="42"/>
        <v>194.83475626996736</v>
      </c>
      <c r="J72" s="306">
        <f t="shared" ca="1" si="43"/>
        <v>127.97872448764024</v>
      </c>
      <c r="K72" s="307">
        <f t="shared" ca="1" si="44"/>
        <v>621.38793051129596</v>
      </c>
      <c r="L72" s="304">
        <f t="shared" ca="1" si="29"/>
        <v>634.43007030451713</v>
      </c>
      <c r="M72" s="306">
        <f t="shared" ca="1" si="45"/>
        <v>1.3497521576281253</v>
      </c>
      <c r="N72" s="304">
        <f t="shared" ca="1" si="46"/>
        <v>77.335102020768204</v>
      </c>
      <c r="P72" s="310">
        <f t="shared" ca="1" si="47"/>
        <v>5</v>
      </c>
      <c r="Q72" s="304">
        <f t="shared" ca="1" si="48"/>
        <v>144.00000000000577</v>
      </c>
      <c r="R72" s="306">
        <f t="shared" ca="1" si="49"/>
        <v>7.6427969671443663E-2</v>
      </c>
      <c r="S72" s="307">
        <f t="shared" ca="1" si="50"/>
        <v>2.6893417860151652</v>
      </c>
      <c r="T72" s="304">
        <f t="shared" ca="1" si="30"/>
        <v>26.382442920808771</v>
      </c>
      <c r="U72" s="311">
        <f t="shared" ca="1" si="31"/>
        <v>0</v>
      </c>
      <c r="V72" s="306">
        <f t="shared" ca="1" si="32"/>
        <v>1.1511737165857716</v>
      </c>
      <c r="W72" s="304">
        <f t="shared" ca="1" si="33"/>
        <v>89.484249464686485</v>
      </c>
      <c r="Y72" s="314" t="str">
        <f t="shared" ca="1" si="51"/>
        <v/>
      </c>
      <c r="Z72" s="315" t="str">
        <f t="shared" ca="1" si="52"/>
        <v/>
      </c>
      <c r="AA72" s="316" t="str">
        <f t="shared" ca="1" si="53"/>
        <v/>
      </c>
      <c r="AC72" s="310" t="e">
        <f t="shared" ca="1" si="54"/>
        <v>#N/A</v>
      </c>
      <c r="AD72" s="323" t="e">
        <f t="shared" ca="1" si="55"/>
        <v>#N/A</v>
      </c>
      <c r="AE72" s="324">
        <f t="shared" ca="1" si="34"/>
        <v>621.38793051129596</v>
      </c>
      <c r="AG72" s="306">
        <f t="shared" ca="1" si="56"/>
        <v>10.729803340919606</v>
      </c>
      <c r="AH72" s="304">
        <f t="shared" ca="1" si="57"/>
        <v>20.301353969116114</v>
      </c>
    </row>
    <row r="73" spans="1:34" x14ac:dyDescent="0.2">
      <c r="A73" s="347">
        <f t="shared" ca="1" si="35"/>
        <v>0.01</v>
      </c>
      <c r="B73" s="304">
        <f t="shared" ca="1" si="36"/>
        <v>3.8899999999999855</v>
      </c>
      <c r="D73" s="306">
        <f t="shared" ca="1" si="37"/>
        <v>4.010692619492044</v>
      </c>
      <c r="E73" s="307">
        <f t="shared" ca="1" si="38"/>
        <v>8.0378235722817042</v>
      </c>
      <c r="F73" s="304">
        <f t="shared" ca="1" si="39"/>
        <v>8.9828872344684019</v>
      </c>
      <c r="G73" s="306">
        <f t="shared" ca="1" si="40"/>
        <v>42.757336146594731</v>
      </c>
      <c r="H73" s="307">
        <f t="shared" ca="1" si="41"/>
        <v>190.17461954384189</v>
      </c>
      <c r="I73" s="304">
        <f t="shared" ca="1" si="42"/>
        <v>194.92197339704393</v>
      </c>
      <c r="J73" s="306">
        <f t="shared" ca="1" si="43"/>
        <v>128.4060973144752</v>
      </c>
      <c r="K73" s="307">
        <f t="shared" ca="1" si="44"/>
        <v>623.28927481555581</v>
      </c>
      <c r="L73" s="304">
        <f t="shared" ca="1" si="29"/>
        <v>636.37853980758655</v>
      </c>
      <c r="M73" s="306">
        <f t="shared" ca="1" si="45"/>
        <v>1.349641814611876</v>
      </c>
      <c r="N73" s="304">
        <f t="shared" ca="1" si="46"/>
        <v>77.328779831638371</v>
      </c>
      <c r="P73" s="310">
        <f t="shared" ca="1" si="47"/>
        <v>6</v>
      </c>
      <c r="Q73" s="304">
        <f t="shared" ca="1" si="48"/>
        <v>138.66666666667643</v>
      </c>
      <c r="R73" s="306">
        <f t="shared" ca="1" si="49"/>
        <v>7.3597304128059093E-2</v>
      </c>
      <c r="S73" s="307">
        <f t="shared" ca="1" si="50"/>
        <v>2.6886058129738846</v>
      </c>
      <c r="T73" s="304">
        <f t="shared" ca="1" si="30"/>
        <v>26.375223025273808</v>
      </c>
      <c r="U73" s="311">
        <f t="shared" ca="1" si="31"/>
        <v>0</v>
      </c>
      <c r="V73" s="306">
        <f t="shared" ca="1" si="32"/>
        <v>1.1509546475370975</v>
      </c>
      <c r="W73" s="304">
        <f t="shared" ca="1" si="33"/>
        <v>89.547337890633202</v>
      </c>
      <c r="Y73" s="314" t="str">
        <f t="shared" ca="1" si="51"/>
        <v/>
      </c>
      <c r="Z73" s="315" t="str">
        <f t="shared" ca="1" si="52"/>
        <v/>
      </c>
      <c r="AA73" s="316" t="str">
        <f t="shared" ca="1" si="53"/>
        <v/>
      </c>
      <c r="AC73" s="310" t="e">
        <f t="shared" ca="1" si="54"/>
        <v>#N/A</v>
      </c>
      <c r="AD73" s="323" t="e">
        <f t="shared" ca="1" si="55"/>
        <v>#N/A</v>
      </c>
      <c r="AE73" s="324">
        <f t="shared" ca="1" si="34"/>
        <v>623.28927481555581</v>
      </c>
      <c r="AG73" s="306">
        <f t="shared" ca="1" si="56"/>
        <v>8.721594043242817</v>
      </c>
      <c r="AH73" s="304">
        <f t="shared" ca="1" si="57"/>
        <v>18.292907411216579</v>
      </c>
    </row>
    <row r="74" spans="1:34" x14ac:dyDescent="0.2">
      <c r="A74" s="347">
        <f t="shared" ca="1" si="35"/>
        <v>0.01</v>
      </c>
      <c r="B74" s="304">
        <f t="shared" ca="1" si="36"/>
        <v>3.8999999999999853</v>
      </c>
      <c r="D74" s="306">
        <f t="shared" ca="1" si="37"/>
        <v>3.464502015943081</v>
      </c>
      <c r="E74" s="307">
        <f t="shared" ca="1" si="38"/>
        <v>5.5992937532854512</v>
      </c>
      <c r="F74" s="304">
        <f t="shared" ca="1" si="39"/>
        <v>6.5844411117463224</v>
      </c>
      <c r="G74" s="306">
        <f t="shared" ca="1" si="40"/>
        <v>42.791981166754162</v>
      </c>
      <c r="H74" s="307">
        <f t="shared" ca="1" si="41"/>
        <v>190.23061248137475</v>
      </c>
      <c r="I74" s="304">
        <f t="shared" ca="1" si="42"/>
        <v>194.9842034043138</v>
      </c>
      <c r="J74" s="306">
        <f t="shared" ca="1" si="43"/>
        <v>128.83384390104194</v>
      </c>
      <c r="K74" s="307">
        <f t="shared" ca="1" si="44"/>
        <v>625.19130097568188</v>
      </c>
      <c r="L74" s="304">
        <f t="shared" ca="1" si="29"/>
        <v>638.32775448822815</v>
      </c>
      <c r="M74" s="306">
        <f t="shared" ca="1" si="45"/>
        <v>1.3495314526479472</v>
      </c>
      <c r="N74" s="304">
        <f t="shared" ca="1" si="46"/>
        <v>77.322456556886479</v>
      </c>
      <c r="P74" s="310">
        <f t="shared" ca="1" si="47"/>
        <v>6</v>
      </c>
      <c r="Q74" s="304">
        <f t="shared" ca="1" si="48"/>
        <v>132.00000000000992</v>
      </c>
      <c r="R74" s="306">
        <f t="shared" ca="1" si="49"/>
        <v>7.0058972198825814E-2</v>
      </c>
      <c r="S74" s="307">
        <f t="shared" ca="1" si="50"/>
        <v>2.6879052232518963</v>
      </c>
      <c r="T74" s="304">
        <f t="shared" ca="1" si="30"/>
        <v>26.368350240101105</v>
      </c>
      <c r="U74" s="311">
        <f t="shared" ca="1" si="31"/>
        <v>0</v>
      </c>
      <c r="V74" s="306">
        <f t="shared" ca="1" si="32"/>
        <v>1.150735540338093</v>
      </c>
      <c r="W74" s="304">
        <f t="shared" ca="1" si="33"/>
        <v>89.587466055070593</v>
      </c>
      <c r="Y74" s="314" t="str">
        <f t="shared" ca="1" si="51"/>
        <v/>
      </c>
      <c r="Z74" s="315" t="str">
        <f t="shared" ca="1" si="52"/>
        <v/>
      </c>
      <c r="AA74" s="316" t="str">
        <f t="shared" ca="1" si="53"/>
        <v/>
      </c>
      <c r="AC74" s="310" t="e">
        <f t="shared" ca="1" si="54"/>
        <v>#N/A</v>
      </c>
      <c r="AD74" s="323" t="e">
        <f t="shared" ca="1" si="55"/>
        <v>#N/A</v>
      </c>
      <c r="AE74" s="324">
        <f t="shared" ca="1" si="34"/>
        <v>625.19130097568188</v>
      </c>
      <c r="AG74" s="306">
        <f t="shared" ca="1" si="56"/>
        <v>6.2228819839143892</v>
      </c>
      <c r="AH74" s="304">
        <f t="shared" ca="1" si="57"/>
        <v>15.793957964788804</v>
      </c>
    </row>
    <row r="75" spans="1:34" x14ac:dyDescent="0.2">
      <c r="A75" s="347">
        <f t="shared" ca="1" si="35"/>
        <v>0.01</v>
      </c>
      <c r="B75" s="304">
        <f t="shared" ca="1" si="36"/>
        <v>3.909999999999985</v>
      </c>
      <c r="D75" s="306">
        <f t="shared" ca="1" si="37"/>
        <v>2.9193243222386731</v>
      </c>
      <c r="E75" s="307">
        <f t="shared" ca="1" si="38"/>
        <v>3.1677785161929854</v>
      </c>
      <c r="F75" s="304">
        <f t="shared" ca="1" si="39"/>
        <v>4.3078155979647184</v>
      </c>
      <c r="G75" s="306">
        <f t="shared" ca="1" si="40"/>
        <v>42.82117440997655</v>
      </c>
      <c r="H75" s="307">
        <f t="shared" ca="1" si="41"/>
        <v>190.26229026653667</v>
      </c>
      <c r="I75" s="304">
        <f t="shared" ca="1" si="42"/>
        <v>195.02151695471321</v>
      </c>
      <c r="J75" s="306">
        <f t="shared" ca="1" si="43"/>
        <v>129.2619096789256</v>
      </c>
      <c r="K75" s="307">
        <f t="shared" ca="1" si="44"/>
        <v>627.09376548942146</v>
      </c>
      <c r="L75" s="304">
        <f t="shared" ca="1" si="29"/>
        <v>640.27746486155843</v>
      </c>
      <c r="M75" s="306">
        <f t="shared" ca="1" si="45"/>
        <v>1.3494210576379226</v>
      </c>
      <c r="N75" s="304">
        <f t="shared" ca="1" si="46"/>
        <v>77.316131388732771</v>
      </c>
      <c r="P75" s="310">
        <f t="shared" ca="1" si="47"/>
        <v>6</v>
      </c>
      <c r="Q75" s="304">
        <f t="shared" ca="1" si="48"/>
        <v>125.33333333334338</v>
      </c>
      <c r="R75" s="306">
        <f t="shared" ca="1" si="49"/>
        <v>6.6520640269592521E-2</v>
      </c>
      <c r="S75" s="307">
        <f t="shared" ca="1" si="50"/>
        <v>2.6872400168492003</v>
      </c>
      <c r="T75" s="304">
        <f t="shared" ca="1" si="30"/>
        <v>26.361824565290657</v>
      </c>
      <c r="U75" s="311">
        <f t="shared" ca="1" si="31"/>
        <v>0</v>
      </c>
      <c r="V75" s="306">
        <f t="shared" ca="1" si="32"/>
        <v>1.1505164230639435</v>
      </c>
      <c r="W75" s="304">
        <f t="shared" ca="1" si="33"/>
        <v>89.604692188459822</v>
      </c>
      <c r="Y75" s="314" t="str">
        <f t="shared" ca="1" si="51"/>
        <v/>
      </c>
      <c r="Z75" s="315" t="str">
        <f t="shared" ca="1" si="52"/>
        <v/>
      </c>
      <c r="AA75" s="316" t="str">
        <f t="shared" ca="1" si="53"/>
        <v/>
      </c>
      <c r="AC75" s="310" t="e">
        <f t="shared" ca="1" si="54"/>
        <v>#N/A</v>
      </c>
      <c r="AD75" s="323" t="e">
        <f t="shared" ca="1" si="55"/>
        <v>#N/A</v>
      </c>
      <c r="AE75" s="324">
        <f t="shared" ca="1" si="34"/>
        <v>627.09376548942146</v>
      </c>
      <c r="AG75" s="306">
        <f t="shared" ca="1" si="56"/>
        <v>3.7312362030119246</v>
      </c>
      <c r="AH75" s="304">
        <f t="shared" ca="1" si="57"/>
        <v>13.302074639460361</v>
      </c>
    </row>
    <row r="76" spans="1:34" x14ac:dyDescent="0.2">
      <c r="A76" s="347">
        <f t="shared" ca="1" si="35"/>
        <v>0.01</v>
      </c>
      <c r="B76" s="304">
        <f t="shared" ca="1" si="36"/>
        <v>3.9199999999999848</v>
      </c>
      <c r="D76" s="306">
        <f t="shared" ca="1" si="37"/>
        <v>2.3751798629691168</v>
      </c>
      <c r="E76" s="307">
        <f t="shared" ca="1" si="38"/>
        <v>0.74335746275508541</v>
      </c>
      <c r="F76" s="304">
        <f t="shared" ca="1" si="39"/>
        <v>2.4887867925733755</v>
      </c>
      <c r="G76" s="306">
        <f t="shared" ca="1" si="40"/>
        <v>42.844926208606239</v>
      </c>
      <c r="H76" s="307">
        <f t="shared" ca="1" si="41"/>
        <v>190.26972384116422</v>
      </c>
      <c r="I76" s="304">
        <f t="shared" ca="1" si="42"/>
        <v>195.03398553178829</v>
      </c>
      <c r="J76" s="306">
        <f t="shared" ca="1" si="43"/>
        <v>129.69024018201853</v>
      </c>
      <c r="K76" s="307">
        <f t="shared" ca="1" si="44"/>
        <v>628.99642555996002</v>
      </c>
      <c r="L76" s="304">
        <f t="shared" ca="1" si="29"/>
        <v>642.22742215330231</v>
      </c>
      <c r="M76" s="306">
        <f t="shared" ca="1" si="45"/>
        <v>1.3493106155123751</v>
      </c>
      <c r="N76" s="304">
        <f t="shared" ca="1" si="46"/>
        <v>77.309803521058441</v>
      </c>
      <c r="P76" s="310">
        <f t="shared" ca="1" si="47"/>
        <v>6</v>
      </c>
      <c r="Q76" s="304">
        <f t="shared" ca="1" si="48"/>
        <v>118.66666666667686</v>
      </c>
      <c r="R76" s="306">
        <f t="shared" ca="1" si="49"/>
        <v>6.2982308340359242E-2</v>
      </c>
      <c r="S76" s="307">
        <f t="shared" ca="1" si="50"/>
        <v>2.6866101937657967</v>
      </c>
      <c r="T76" s="304">
        <f t="shared" ca="1" si="30"/>
        <v>26.355646000842466</v>
      </c>
      <c r="U76" s="311">
        <f t="shared" ca="1" si="31"/>
        <v>0</v>
      </c>
      <c r="V76" s="306">
        <f t="shared" ca="1" si="32"/>
        <v>1.1502973236879086</v>
      </c>
      <c r="W76" s="304">
        <f t="shared" ca="1" si="33"/>
        <v>89.599084080732794</v>
      </c>
      <c r="Y76" s="314" t="str">
        <f t="shared" ca="1" si="51"/>
        <v/>
      </c>
      <c r="Z76" s="315" t="str">
        <f t="shared" ca="1" si="52"/>
        <v/>
      </c>
      <c r="AA76" s="316" t="str">
        <f t="shared" ca="1" si="53"/>
        <v/>
      </c>
      <c r="AC76" s="310" t="e">
        <f t="shared" ca="1" si="54"/>
        <v>#N/A</v>
      </c>
      <c r="AD76" s="323" t="e">
        <f t="shared" ca="1" si="55"/>
        <v>#N/A</v>
      </c>
      <c r="AE76" s="324">
        <f t="shared" ca="1" si="34"/>
        <v>628.99642555996002</v>
      </c>
      <c r="AG76" s="306">
        <f t="shared" ca="1" si="56"/>
        <v>1.2467387615194774</v>
      </c>
      <c r="AH76" s="304">
        <f t="shared" ca="1" si="57"/>
        <v>10.81733946579021</v>
      </c>
    </row>
    <row r="77" spans="1:34" x14ac:dyDescent="0.2">
      <c r="A77" s="347">
        <f t="shared" ca="1" si="35"/>
        <v>0.01</v>
      </c>
      <c r="B77" s="304">
        <f t="shared" ca="1" si="36"/>
        <v>3.9299999999999846</v>
      </c>
      <c r="D77" s="306">
        <f t="shared" ca="1" si="37"/>
        <v>1.8320879736367115</v>
      </c>
      <c r="E77" s="307">
        <f t="shared" ca="1" si="38"/>
        <v>-1.6738937292286913</v>
      </c>
      <c r="F77" s="304">
        <f t="shared" ca="1" si="39"/>
        <v>2.4816257896579428</v>
      </c>
      <c r="G77" s="306">
        <f t="shared" ca="1" si="40"/>
        <v>42.863247088342604</v>
      </c>
      <c r="H77" s="307">
        <f t="shared" ca="1" si="41"/>
        <v>190.25298490387195</v>
      </c>
      <c r="I77" s="304">
        <f t="shared" ca="1" si="42"/>
        <v>195.02168139924657</v>
      </c>
      <c r="J77" s="306">
        <f t="shared" ca="1" si="43"/>
        <v>130.11878104850328</v>
      </c>
      <c r="K77" s="307">
        <f t="shared" ca="1" si="44"/>
        <v>630.89903910368525</v>
      </c>
      <c r="L77" s="304">
        <f t="shared" ca="1" si="29"/>
        <v>644.17737830779322</v>
      </c>
      <c r="M77" s="306">
        <f t="shared" ca="1" si="45"/>
        <v>1.3492001122206128</v>
      </c>
      <c r="N77" s="304">
        <f t="shared" ca="1" si="46"/>
        <v>77.303472148818159</v>
      </c>
      <c r="P77" s="310">
        <f t="shared" ca="1" si="47"/>
        <v>6</v>
      </c>
      <c r="Q77" s="304">
        <f t="shared" ca="1" si="48"/>
        <v>112.00000000001033</v>
      </c>
      <c r="R77" s="306">
        <f t="shared" ca="1" si="49"/>
        <v>5.9443976411125948E-2</v>
      </c>
      <c r="S77" s="307">
        <f t="shared" ca="1" si="50"/>
        <v>2.6860157540016854</v>
      </c>
      <c r="T77" s="304">
        <f t="shared" ca="1" si="30"/>
        <v>26.349814546756534</v>
      </c>
      <c r="U77" s="311">
        <f t="shared" ca="1" si="31"/>
        <v>0</v>
      </c>
      <c r="V77" s="306">
        <f t="shared" ca="1" si="32"/>
        <v>1.1500782700805081</v>
      </c>
      <c r="W77" s="304">
        <f t="shared" ca="1" si="33"/>
        <v>89.570718946317385</v>
      </c>
      <c r="Y77" s="314" t="str">
        <f t="shared" ca="1" si="51"/>
        <v/>
      </c>
      <c r="Z77" s="315" t="str">
        <f t="shared" ca="1" si="52"/>
        <v/>
      </c>
      <c r="AA77" s="316" t="str">
        <f t="shared" ca="1" si="53"/>
        <v/>
      </c>
      <c r="AC77" s="310" t="e">
        <f t="shared" ca="1" si="54"/>
        <v>#N/A</v>
      </c>
      <c r="AD77" s="323" t="e">
        <f t="shared" ca="1" si="55"/>
        <v>#N/A</v>
      </c>
      <c r="AE77" s="324">
        <f t="shared" ca="1" si="34"/>
        <v>630.89903910368525</v>
      </c>
      <c r="AG77" s="306">
        <f t="shared" ca="1" si="56"/>
        <v>-1.2305323244422102</v>
      </c>
      <c r="AH77" s="304">
        <f t="shared" ca="1" si="57"/>
        <v>8.3398304294768781</v>
      </c>
    </row>
    <row r="78" spans="1:34" x14ac:dyDescent="0.2">
      <c r="A78" s="347">
        <f t="shared" ca="1" si="35"/>
        <v>0.01</v>
      </c>
      <c r="B78" s="304">
        <f t="shared" ca="1" si="36"/>
        <v>3.9399999999999844</v>
      </c>
      <c r="D78" s="306">
        <f t="shared" ca="1" si="37"/>
        <v>1.2900670076648992</v>
      </c>
      <c r="E78" s="307">
        <f t="shared" ca="1" si="38"/>
        <v>-4.0839032712945187</v>
      </c>
      <c r="F78" s="304">
        <f t="shared" ca="1" si="39"/>
        <v>4.2828190264772497</v>
      </c>
      <c r="G78" s="306">
        <f t="shared" ca="1" si="40"/>
        <v>42.876147758419251</v>
      </c>
      <c r="H78" s="307">
        <f t="shared" ca="1" si="41"/>
        <v>190.21214587115901</v>
      </c>
      <c r="I78" s="304">
        <f t="shared" ca="1" si="42"/>
        <v>194.98467756086083</v>
      </c>
      <c r="J78" s="306">
        <f t="shared" ca="1" si="43"/>
        <v>130.5474780227371</v>
      </c>
      <c r="K78" s="307">
        <f t="shared" ca="1" si="44"/>
        <v>632.80136475756046</v>
      </c>
      <c r="L78" s="304">
        <f t="shared" ca="1" si="29"/>
        <v>646.12708599557106</v>
      </c>
      <c r="M78" s="306">
        <f t="shared" ca="1" si="45"/>
        <v>1.3490895337204776</v>
      </c>
      <c r="N78" s="304">
        <f t="shared" ca="1" si="46"/>
        <v>77.297136467455516</v>
      </c>
      <c r="P78" s="310">
        <f t="shared" ca="1" si="47"/>
        <v>6</v>
      </c>
      <c r="Q78" s="304">
        <f t="shared" ca="1" si="48"/>
        <v>105.3333333333438</v>
      </c>
      <c r="R78" s="306">
        <f t="shared" ca="1" si="49"/>
        <v>5.5905644481892662E-2</v>
      </c>
      <c r="S78" s="307">
        <f t="shared" ca="1" si="50"/>
        <v>2.6854566975568663</v>
      </c>
      <c r="T78" s="304">
        <f t="shared" ca="1" si="30"/>
        <v>26.344330203032861</v>
      </c>
      <c r="U78" s="311">
        <f t="shared" ca="1" si="31"/>
        <v>0</v>
      </c>
      <c r="V78" s="306">
        <f t="shared" ca="1" si="32"/>
        <v>1.1498592900087643</v>
      </c>
      <c r="W78" s="304">
        <f t="shared" ca="1" si="33"/>
        <v>89.519683288534068</v>
      </c>
      <c r="Y78" s="314" t="str">
        <f t="shared" ca="1" si="51"/>
        <v/>
      </c>
      <c r="Z78" s="315" t="str">
        <f t="shared" ca="1" si="52"/>
        <v/>
      </c>
      <c r="AA78" s="316" t="str">
        <f t="shared" ca="1" si="53"/>
        <v/>
      </c>
      <c r="AC78" s="310" t="e">
        <f t="shared" ca="1" si="54"/>
        <v>#N/A</v>
      </c>
      <c r="AD78" s="323" t="e">
        <f t="shared" ca="1" si="55"/>
        <v>#N/A</v>
      </c>
      <c r="AE78" s="324">
        <f t="shared" ca="1" si="34"/>
        <v>632.80136475756046</v>
      </c>
      <c r="AG78" s="306">
        <f t="shared" ca="1" si="56"/>
        <v>-3.7005030483507975</v>
      </c>
      <c r="AH78" s="304">
        <f t="shared" ca="1" si="57"/>
        <v>5.8696215066013488</v>
      </c>
    </row>
    <row r="79" spans="1:34" x14ac:dyDescent="0.2">
      <c r="A79" s="347">
        <f t="shared" ca="1" si="35"/>
        <v>0.01</v>
      </c>
      <c r="B79" s="304">
        <f t="shared" ca="1" si="36"/>
        <v>3.9499999999999842</v>
      </c>
      <c r="D79" s="306">
        <f t="shared" ca="1" si="37"/>
        <v>0.74913434353357222</v>
      </c>
      <c r="E79" s="307">
        <f t="shared" ca="1" si="38"/>
        <v>-6.4866032286255892</v>
      </c>
      <c r="F79" s="304">
        <f t="shared" ca="1" si="39"/>
        <v>6.5297185016107235</v>
      </c>
      <c r="G79" s="306">
        <f t="shared" ca="1" si="40"/>
        <v>42.883639101854584</v>
      </c>
      <c r="H79" s="307">
        <f t="shared" ca="1" si="41"/>
        <v>190.14727983887275</v>
      </c>
      <c r="I79" s="304">
        <f t="shared" ca="1" si="42"/>
        <v>194.92304772073695</v>
      </c>
      <c r="J79" s="306">
        <f t="shared" ca="1" si="43"/>
        <v>130.97627695703846</v>
      </c>
      <c r="K79" s="307">
        <f t="shared" ca="1" si="44"/>
        <v>634.70316188611059</v>
      </c>
      <c r="L79" s="304">
        <f t="shared" ca="1" si="29"/>
        <v>648.0762986205815</v>
      </c>
      <c r="M79" s="306">
        <f t="shared" ca="1" si="45"/>
        <v>1.348978865968179</v>
      </c>
      <c r="N79" s="304">
        <f t="shared" ca="1" si="46"/>
        <v>77.290795672320613</v>
      </c>
      <c r="P79" s="310">
        <f t="shared" ca="1" si="47"/>
        <v>6</v>
      </c>
      <c r="Q79" s="304">
        <f t="shared" ca="1" si="48"/>
        <v>98.666666666677287</v>
      </c>
      <c r="R79" s="306">
        <f t="shared" ca="1" si="49"/>
        <v>5.2367312552659383E-2</v>
      </c>
      <c r="S79" s="307">
        <f t="shared" ca="1" si="50"/>
        <v>2.6849330244313396</v>
      </c>
      <c r="T79" s="304">
        <f t="shared" ca="1" si="30"/>
        <v>26.339192969671444</v>
      </c>
      <c r="U79" s="311">
        <f t="shared" ca="1" si="31"/>
        <v>0</v>
      </c>
      <c r="V79" s="306">
        <f t="shared" ca="1" si="32"/>
        <v>1.1496404111354885</v>
      </c>
      <c r="W79" s="304">
        <f t="shared" ca="1" si="33"/>
        <v>89.44607276349052</v>
      </c>
      <c r="Y79" s="314" t="str">
        <f t="shared" ca="1" si="51"/>
        <v/>
      </c>
      <c r="Z79" s="315" t="str">
        <f t="shared" ca="1" si="52"/>
        <v/>
      </c>
      <c r="AA79" s="316" t="str">
        <f t="shared" ca="1" si="53"/>
        <v/>
      </c>
      <c r="AC79" s="310" t="e">
        <f t="shared" ca="1" si="54"/>
        <v>#N/A</v>
      </c>
      <c r="AD79" s="323" t="e">
        <f t="shared" ca="1" si="55"/>
        <v>#N/A</v>
      </c>
      <c r="AE79" s="324">
        <f t="shared" ca="1" si="34"/>
        <v>634.70316188611059</v>
      </c>
      <c r="AG79" s="306">
        <f t="shared" ca="1" si="56"/>
        <v>-6.1631033769426207</v>
      </c>
      <c r="AH79" s="304">
        <f t="shared" ca="1" si="57"/>
        <v>3.4067826999448232</v>
      </c>
    </row>
    <row r="80" spans="1:34" x14ac:dyDescent="0.2">
      <c r="A80" s="347">
        <f t="shared" ca="1" si="35"/>
        <v>0.01</v>
      </c>
      <c r="B80" s="304">
        <f t="shared" ca="1" si="36"/>
        <v>3.959999999999984</v>
      </c>
      <c r="D80" s="306">
        <f t="shared" ca="1" si="37"/>
        <v>0.20930639202966614</v>
      </c>
      <c r="E80" s="307">
        <f t="shared" ca="1" si="38"/>
        <v>-8.8819294833444182</v>
      </c>
      <c r="F80" s="304">
        <f t="shared" ca="1" si="39"/>
        <v>8.8843953374918723</v>
      </c>
      <c r="G80" s="306">
        <f t="shared" ca="1" si="40"/>
        <v>42.885732165774883</v>
      </c>
      <c r="H80" s="307">
        <f t="shared" ca="1" si="41"/>
        <v>190.05846054403929</v>
      </c>
      <c r="I80" s="304">
        <f t="shared" ca="1" si="42"/>
        <v>194.83686624395477</v>
      </c>
      <c r="J80" s="306">
        <f t="shared" ca="1" si="43"/>
        <v>131.4051238133766</v>
      </c>
      <c r="K80" s="307">
        <f t="shared" ca="1" si="44"/>
        <v>636.60419058802518</v>
      </c>
      <c r="L80" s="304">
        <f t="shared" ca="1" si="29"/>
        <v>650.02477032698027</v>
      </c>
      <c r="M80" s="306">
        <f t="shared" ca="1" si="45"/>
        <v>1.3488680949081413</v>
      </c>
      <c r="N80" s="304">
        <f t="shared" ca="1" si="46"/>
        <v>77.284448958088262</v>
      </c>
      <c r="P80" s="310">
        <f t="shared" ca="1" si="47"/>
        <v>6</v>
      </c>
      <c r="Q80" s="304">
        <f t="shared" ca="1" si="48"/>
        <v>92.000000000010758</v>
      </c>
      <c r="R80" s="306">
        <f t="shared" ca="1" si="49"/>
        <v>4.882898062342609E-2</v>
      </c>
      <c r="S80" s="307">
        <f t="shared" ca="1" si="50"/>
        <v>2.6844447346251052</v>
      </c>
      <c r="T80" s="304">
        <f t="shared" ca="1" si="30"/>
        <v>26.334402846672283</v>
      </c>
      <c r="U80" s="311">
        <f t="shared" ca="1" si="31"/>
        <v>0</v>
      </c>
      <c r="V80" s="306">
        <f t="shared" ca="1" si="32"/>
        <v>1.1494216610186281</v>
      </c>
      <c r="W80" s="304">
        <f t="shared" ca="1" si="33"/>
        <v>89.349992043597794</v>
      </c>
      <c r="Y80" s="314" t="str">
        <f t="shared" ca="1" si="51"/>
        <v/>
      </c>
      <c r="Z80" s="315" t="str">
        <f t="shared" ca="1" si="52"/>
        <v/>
      </c>
      <c r="AA80" s="316" t="str">
        <f t="shared" ca="1" si="53"/>
        <v/>
      </c>
      <c r="AC80" s="310" t="e">
        <f t="shared" ca="1" si="54"/>
        <v>#N/A</v>
      </c>
      <c r="AD80" s="323" t="e">
        <f t="shared" ca="1" si="55"/>
        <v>#N/A</v>
      </c>
      <c r="AE80" s="324">
        <f t="shared" ca="1" si="34"/>
        <v>636.60419058802518</v>
      </c>
      <c r="AG80" s="306">
        <f t="shared" ca="1" si="56"/>
        <v>-8.618267212853544</v>
      </c>
      <c r="AH80" s="304">
        <f t="shared" ca="1" si="57"/>
        <v>0.95138007632587951</v>
      </c>
    </row>
    <row r="81" spans="1:34" x14ac:dyDescent="0.2">
      <c r="A81" s="347">
        <f t="shared" ca="1" si="35"/>
        <v>0.01</v>
      </c>
      <c r="B81" s="304">
        <f t="shared" ca="1" si="36"/>
        <v>3.9699999999999838</v>
      </c>
      <c r="D81" s="306">
        <f t="shared" ca="1" si="37"/>
        <v>-0.32940139639798716</v>
      </c>
      <c r="E81" s="307">
        <f t="shared" ca="1" si="38"/>
        <v>-11.269821696839792</v>
      </c>
      <c r="F81" s="304">
        <f t="shared" ca="1" si="39"/>
        <v>11.274634644125275</v>
      </c>
      <c r="G81" s="306">
        <f t="shared" ca="1" si="40"/>
        <v>42.882438151810902</v>
      </c>
      <c r="H81" s="307">
        <f t="shared" ca="1" si="41"/>
        <v>189.9457623270709</v>
      </c>
      <c r="I81" s="304">
        <f t="shared" ca="1" si="42"/>
        <v>194.72620811759262</v>
      </c>
      <c r="J81" s="306">
        <f t="shared" ca="1" si="43"/>
        <v>131.83396466496453</v>
      </c>
      <c r="K81" s="307">
        <f t="shared" ca="1" si="44"/>
        <v>638.50421170238076</v>
      </c>
      <c r="L81" s="304">
        <f t="shared" ca="1" si="29"/>
        <v>651.97225600554646</v>
      </c>
      <c r="M81" s="306">
        <f t="shared" ca="1" si="45"/>
        <v>1.3487572064628497</v>
      </c>
      <c r="N81" s="304">
        <f t="shared" ca="1" si="46"/>
        <v>77.278095518176286</v>
      </c>
      <c r="P81" s="310">
        <f t="shared" ca="1" si="47"/>
        <v>6</v>
      </c>
      <c r="Q81" s="304">
        <f t="shared" ca="1" si="48"/>
        <v>85.333333333344228</v>
      </c>
      <c r="R81" s="306">
        <f t="shared" ca="1" si="49"/>
        <v>4.5290648694192803E-2</v>
      </c>
      <c r="S81" s="307">
        <f t="shared" ca="1" si="50"/>
        <v>2.6839918281381632</v>
      </c>
      <c r="T81" s="304">
        <f t="shared" ca="1" si="30"/>
        <v>26.329959834035382</v>
      </c>
      <c r="U81" s="311">
        <f t="shared" ca="1" si="31"/>
        <v>0</v>
      </c>
      <c r="V81" s="306">
        <f t="shared" ca="1" si="32"/>
        <v>1.149203067110657</v>
      </c>
      <c r="W81" s="304">
        <f t="shared" ca="1" si="33"/>
        <v>89.231554680828538</v>
      </c>
      <c r="Y81" s="314" t="str">
        <f t="shared" ca="1" si="51"/>
        <v/>
      </c>
      <c r="Z81" s="315" t="str">
        <f t="shared" ca="1" si="52"/>
        <v/>
      </c>
      <c r="AA81" s="316" t="str">
        <f t="shared" ca="1" si="53"/>
        <v/>
      </c>
      <c r="AC81" s="310" t="e">
        <f t="shared" ca="1" si="54"/>
        <v>#N/A</v>
      </c>
      <c r="AD81" s="323" t="e">
        <f t="shared" ca="1" si="55"/>
        <v>#N/A</v>
      </c>
      <c r="AE81" s="324">
        <f t="shared" ca="1" si="34"/>
        <v>638.50421170238076</v>
      </c>
      <c r="AG81" s="306">
        <f t="shared" ca="1" si="56"/>
        <v>-11.065932356295203</v>
      </c>
      <c r="AH81" s="304">
        <f t="shared" ca="1" si="57"/>
        <v>-1.4965241950978105</v>
      </c>
    </row>
    <row r="82" spans="1:34" x14ac:dyDescent="0.2">
      <c r="A82" s="347">
        <f t="shared" ca="1" si="35"/>
        <v>0.01</v>
      </c>
      <c r="B82" s="304">
        <f t="shared" ca="1" si="36"/>
        <v>3.9799999999999836</v>
      </c>
      <c r="D82" s="306">
        <f t="shared" ca="1" si="37"/>
        <v>-0.86697452419083498</v>
      </c>
      <c r="E82" s="307">
        <f t="shared" ca="1" si="38"/>
        <v>-13.650223271181316</v>
      </c>
      <c r="F82" s="304">
        <f t="shared" ca="1" si="39"/>
        <v>13.677727888019117</v>
      </c>
      <c r="G82" s="306">
        <f t="shared" ca="1" si="40"/>
        <v>42.873768406568992</v>
      </c>
      <c r="H82" s="307">
        <f t="shared" ca="1" si="41"/>
        <v>189.80926009435908</v>
      </c>
      <c r="I82" s="304">
        <f t="shared" ca="1" si="42"/>
        <v>194.59114891214389</v>
      </c>
      <c r="J82" s="306">
        <f t="shared" ca="1" si="43"/>
        <v>132.26274569775643</v>
      </c>
      <c r="K82" s="307">
        <f t="shared" ca="1" si="44"/>
        <v>640.40298681448792</v>
      </c>
      <c r="L82" s="304">
        <f t="shared" ca="1" si="29"/>
        <v>653.91851129970814</v>
      </c>
      <c r="M82" s="306">
        <f t="shared" ca="1" si="45"/>
        <v>1.3486461865226738</v>
      </c>
      <c r="N82" s="304">
        <f t="shared" ca="1" si="46"/>
        <v>77.271734544162413</v>
      </c>
      <c r="P82" s="310">
        <f t="shared" ca="1" si="47"/>
        <v>6</v>
      </c>
      <c r="Q82" s="304">
        <f t="shared" ca="1" si="48"/>
        <v>78.666666666677713</v>
      </c>
      <c r="R82" s="306">
        <f t="shared" ca="1" si="49"/>
        <v>4.1752316764959524E-2</v>
      </c>
      <c r="S82" s="307">
        <f t="shared" ca="1" si="50"/>
        <v>2.6835743049705134</v>
      </c>
      <c r="T82" s="304">
        <f t="shared" ca="1" si="30"/>
        <v>26.32586393176074</v>
      </c>
      <c r="U82" s="311">
        <f t="shared" ca="1" si="31"/>
        <v>0</v>
      </c>
      <c r="V82" s="306">
        <f t="shared" ca="1" si="32"/>
        <v>1.1489846567580202</v>
      </c>
      <c r="W82" s="304">
        <f t="shared" ca="1" si="33"/>
        <v>89.090882969836102</v>
      </c>
      <c r="Y82" s="314" t="str">
        <f t="shared" ca="1" si="51"/>
        <v/>
      </c>
      <c r="Z82" s="315" t="str">
        <f t="shared" ca="1" si="52"/>
        <v/>
      </c>
      <c r="AA82" s="316" t="str">
        <f t="shared" ca="1" si="53"/>
        <v/>
      </c>
      <c r="AC82" s="310" t="e">
        <f t="shared" ca="1" si="54"/>
        <v>#N/A</v>
      </c>
      <c r="AD82" s="323" t="e">
        <f t="shared" ca="1" si="55"/>
        <v>#N/A</v>
      </c>
      <c r="AE82" s="324">
        <f t="shared" ca="1" si="34"/>
        <v>640.40298681448792</v>
      </c>
      <c r="AG82" s="306">
        <f t="shared" ca="1" si="56"/>
        <v>-13.506040465820899</v>
      </c>
      <c r="AH82" s="304">
        <f t="shared" ca="1" si="57"/>
        <v>-3.9368718036174926</v>
      </c>
    </row>
    <row r="83" spans="1:34" x14ac:dyDescent="0.2">
      <c r="A83" s="347">
        <f t="shared" ca="1" si="35"/>
        <v>0.01</v>
      </c>
      <c r="B83" s="304">
        <f t="shared" ca="1" si="36"/>
        <v>3.9899999999999833</v>
      </c>
      <c r="D83" s="306">
        <f t="shared" ca="1" si="37"/>
        <v>-1.4033994391513274</v>
      </c>
      <c r="E83" s="307">
        <f t="shared" ca="1" si="38"/>
        <v>-16.023081309674147</v>
      </c>
      <c r="F83" s="304">
        <f t="shared" ca="1" si="39"/>
        <v>16.084423043498926</v>
      </c>
      <c r="G83" s="306">
        <f t="shared" ca="1" si="40"/>
        <v>42.859734412177481</v>
      </c>
      <c r="H83" s="307">
        <f t="shared" ca="1" si="41"/>
        <v>189.64902928126233</v>
      </c>
      <c r="I83" s="304">
        <f t="shared" ca="1" si="42"/>
        <v>194.43176474333481</v>
      </c>
      <c r="J83" s="306">
        <f t="shared" ca="1" si="43"/>
        <v>132.69141321185018</v>
      </c>
      <c r="K83" s="307">
        <f t="shared" ca="1" si="44"/>
        <v>642.30027826136597</v>
      </c>
      <c r="L83" s="304">
        <f t="shared" ca="1" si="29"/>
        <v>655.86329261118601</v>
      </c>
      <c r="M83" s="306">
        <f t="shared" ca="1" si="45"/>
        <v>1.3485350209356526</v>
      </c>
      <c r="N83" s="304">
        <f t="shared" ca="1" si="46"/>
        <v>77.265365225199005</v>
      </c>
      <c r="P83" s="310">
        <f t="shared" ca="1" si="47"/>
        <v>6</v>
      </c>
      <c r="Q83" s="304">
        <f t="shared" ca="1" si="48"/>
        <v>72.000000000011184</v>
      </c>
      <c r="R83" s="306">
        <f t="shared" ca="1" si="49"/>
        <v>3.8213984835726238E-2</v>
      </c>
      <c r="S83" s="307">
        <f t="shared" ca="1" si="50"/>
        <v>2.683192165122156</v>
      </c>
      <c r="T83" s="304">
        <f t="shared" ca="1" si="30"/>
        <v>26.32211513984835</v>
      </c>
      <c r="U83" s="311">
        <f t="shared" ca="1" si="31"/>
        <v>0</v>
      </c>
      <c r="V83" s="306">
        <f t="shared" ca="1" si="32"/>
        <v>1.1487664572006271</v>
      </c>
      <c r="W83" s="304">
        <f t="shared" ca="1" si="33"/>
        <v>88.928107811048804</v>
      </c>
      <c r="Y83" s="314" t="str">
        <f t="shared" ca="1" si="51"/>
        <v/>
      </c>
      <c r="Z83" s="315" t="str">
        <f t="shared" ca="1" si="52"/>
        <v/>
      </c>
      <c r="AA83" s="316" t="str">
        <f t="shared" ca="1" si="53"/>
        <v/>
      </c>
      <c r="AC83" s="310" t="e">
        <f t="shared" ca="1" si="54"/>
        <v>#N/A</v>
      </c>
      <c r="AD83" s="323" t="e">
        <f t="shared" ca="1" si="55"/>
        <v>#N/A</v>
      </c>
      <c r="AE83" s="324">
        <f t="shared" ca="1" si="34"/>
        <v>642.30027826136597</v>
      </c>
      <c r="AG83" s="306">
        <f t="shared" ca="1" si="56"/>
        <v>-15.938537018235008</v>
      </c>
      <c r="AH83" s="304">
        <f t="shared" ca="1" si="57"/>
        <v>-6.3696082569050105</v>
      </c>
    </row>
    <row r="84" spans="1:34" x14ac:dyDescent="0.2">
      <c r="A84" s="347">
        <f t="shared" ca="1" si="35"/>
        <v>0.01</v>
      </c>
      <c r="B84" s="304">
        <f t="shared" ca="1" si="36"/>
        <v>3.9999999999999831</v>
      </c>
      <c r="D84" s="306">
        <f t="shared" ca="1" si="37"/>
        <v>-1.9386635268437555</v>
      </c>
      <c r="E84" s="307">
        <f t="shared" ca="1" si="38"/>
        <v>-18.388346576605105</v>
      </c>
      <c r="F84" s="304">
        <f t="shared" ca="1" si="39"/>
        <v>18.490259762687462</v>
      </c>
      <c r="G84" s="306">
        <f t="shared" ca="1" si="40"/>
        <v>42.840347776909041</v>
      </c>
      <c r="H84" s="307">
        <f t="shared" ca="1" si="41"/>
        <v>189.46514581549627</v>
      </c>
      <c r="I84" s="304">
        <f t="shared" ca="1" si="42"/>
        <v>194.24813223435066</v>
      </c>
      <c r="J84" s="306">
        <f t="shared" ca="1" si="43"/>
        <v>133.11991362279562</v>
      </c>
      <c r="K84" s="307">
        <f t="shared" ca="1" si="44"/>
        <v>644.1958491368498</v>
      </c>
      <c r="L84" s="304">
        <f t="shared" ca="1" si="29"/>
        <v>657.80635710525598</v>
      </c>
      <c r="M84" s="306">
        <f t="shared" ca="1" si="45"/>
        <v>1.3484236954972202</v>
      </c>
      <c r="N84" s="304">
        <f t="shared" ca="1" si="46"/>
        <v>77.258986747424387</v>
      </c>
      <c r="P84" s="310">
        <f t="shared" ca="1" si="47"/>
        <v>6</v>
      </c>
      <c r="Q84" s="304">
        <f t="shared" ca="1" si="48"/>
        <v>65.333333333344655</v>
      </c>
      <c r="R84" s="306">
        <f t="shared" ca="1" si="49"/>
        <v>3.4675652906492944E-2</v>
      </c>
      <c r="S84" s="307">
        <f t="shared" ca="1" si="50"/>
        <v>2.6828454085930908</v>
      </c>
      <c r="T84" s="304">
        <f t="shared" ca="1" si="30"/>
        <v>26.318713458298223</v>
      </c>
      <c r="U84" s="311">
        <f t="shared" ca="1" si="31"/>
        <v>0</v>
      </c>
      <c r="V84" s="306">
        <f t="shared" ca="1" si="32"/>
        <v>1.1485484955713947</v>
      </c>
      <c r="W84" s="304">
        <f t="shared" ca="1" si="33"/>
        <v>88.743368573851882</v>
      </c>
      <c r="Y84" s="314" t="str">
        <f t="shared" ca="1" si="51"/>
        <v/>
      </c>
      <c r="Z84" s="315" t="str">
        <f t="shared" ca="1" si="52"/>
        <v/>
      </c>
      <c r="AA84" s="316" t="str">
        <f t="shared" ca="1" si="53"/>
        <v/>
      </c>
      <c r="AC84" s="310">
        <f t="shared" ca="1" si="54"/>
        <v>3.9999999999999831</v>
      </c>
      <c r="AD84" s="323">
        <f t="shared" ca="1" si="55"/>
        <v>133.11991362279562</v>
      </c>
      <c r="AE84" s="324">
        <f t="shared" ca="1" si="34"/>
        <v>644.1958491368498</v>
      </c>
      <c r="AG84" s="306">
        <f t="shared" ca="1" si="56"/>
        <v>-18.363371267698561</v>
      </c>
      <c r="AH84" s="304">
        <f t="shared" ca="1" si="57"/>
        <v>-8.7946828401407853</v>
      </c>
    </row>
    <row r="85" spans="1:34" x14ac:dyDescent="0.2">
      <c r="A85" s="347">
        <f t="shared" ca="1" si="35"/>
        <v>0.01</v>
      </c>
      <c r="B85" s="304">
        <f t="shared" ca="1" si="36"/>
        <v>4.0099999999999829</v>
      </c>
      <c r="D85" s="306">
        <f t="shared" ca="1" si="37"/>
        <v>-2.342588741247996</v>
      </c>
      <c r="E85" s="307">
        <f t="shared" ca="1" si="38"/>
        <v>-20.170301455944781</v>
      </c>
      <c r="F85" s="304">
        <f t="shared" ca="1" si="39"/>
        <v>20.305880498868056</v>
      </c>
      <c r="G85" s="306">
        <f t="shared" ca="1" si="40"/>
        <v>42.816921889496562</v>
      </c>
      <c r="H85" s="307">
        <f t="shared" ca="1" si="41"/>
        <v>189.26344280093682</v>
      </c>
      <c r="I85" s="304">
        <f t="shared" ca="1" si="42"/>
        <v>194.04623052498272</v>
      </c>
      <c r="J85" s="306">
        <f t="shared" ca="1" si="43"/>
        <v>133.54819997112764</v>
      </c>
      <c r="K85" s="307">
        <f t="shared" ca="1" si="44"/>
        <v>646.08949207993192</v>
      </c>
      <c r="L85" s="304">
        <f t="shared" ca="1" si="29"/>
        <v>659.74749222079856</v>
      </c>
      <c r="M85" s="306">
        <f t="shared" ca="1" si="45"/>
        <v>1.3483121993311897</v>
      </c>
      <c r="N85" s="304">
        <f t="shared" ca="1" si="46"/>
        <v>77.252598487678952</v>
      </c>
      <c r="P85" s="310">
        <f t="shared" ca="1" si="47"/>
        <v>7</v>
      </c>
      <c r="Q85" s="304">
        <f t="shared" ca="1" si="48"/>
        <v>60.250000000006018</v>
      </c>
      <c r="R85" s="306">
        <f t="shared" ca="1" si="49"/>
        <v>3.1977674810449698E-2</v>
      </c>
      <c r="S85" s="307">
        <f t="shared" ca="1" si="50"/>
        <v>2.6825256318449862</v>
      </c>
      <c r="T85" s="304">
        <f t="shared" ca="1" si="30"/>
        <v>26.315576448399316</v>
      </c>
      <c r="U85" s="311">
        <f t="shared" ca="1" si="31"/>
        <v>0</v>
      </c>
      <c r="V85" s="306">
        <f t="shared" ca="1" si="32"/>
        <v>1.1483307955870743</v>
      </c>
      <c r="W85" s="304">
        <f t="shared" ca="1" si="33"/>
        <v>88.542198763902363</v>
      </c>
      <c r="Y85" s="314" t="str">
        <f t="shared" ca="1" si="51"/>
        <v/>
      </c>
      <c r="Z85" s="315" t="str">
        <f t="shared" ca="1" si="52"/>
        <v/>
      </c>
      <c r="AA85" s="316" t="str">
        <f t="shared" ca="1" si="53"/>
        <v/>
      </c>
      <c r="AC85" s="310" t="e">
        <f t="shared" ca="1" si="54"/>
        <v>#N/A</v>
      </c>
      <c r="AD85" s="323" t="e">
        <f t="shared" ca="1" si="55"/>
        <v>#N/A</v>
      </c>
      <c r="AE85" s="324">
        <f t="shared" ca="1" si="34"/>
        <v>646.08949207993192</v>
      </c>
      <c r="AG85" s="306">
        <f t="shared" ca="1" si="56"/>
        <v>-20.19029155006146</v>
      </c>
      <c r="AH85" s="304">
        <f t="shared" ca="1" si="57"/>
        <v>-10.621843920368697</v>
      </c>
    </row>
    <row r="86" spans="1:34" x14ac:dyDescent="0.2">
      <c r="A86" s="347">
        <f t="shared" ca="1" si="35"/>
        <v>0.01</v>
      </c>
      <c r="B86" s="304">
        <f t="shared" ca="1" si="36"/>
        <v>4.0199999999999827</v>
      </c>
      <c r="D86" s="306">
        <f t="shared" ca="1" si="37"/>
        <v>-2.6153853268938589</v>
      </c>
      <c r="E86" s="307">
        <f t="shared" ca="1" si="38"/>
        <v>-21.370775725459445</v>
      </c>
      <c r="F86" s="304">
        <f t="shared" ca="1" si="39"/>
        <v>21.530218194807464</v>
      </c>
      <c r="G86" s="306">
        <f t="shared" ca="1" si="40"/>
        <v>42.790768036227625</v>
      </c>
      <c r="H86" s="307">
        <f t="shared" ca="1" si="41"/>
        <v>189.04973504368223</v>
      </c>
      <c r="I86" s="304">
        <f t="shared" ca="1" si="42"/>
        <v>193.83202044351881</v>
      </c>
      <c r="J86" s="306">
        <f t="shared" ca="1" si="43"/>
        <v>133.97623842075626</v>
      </c>
      <c r="K86" s="307">
        <f t="shared" ca="1" si="44"/>
        <v>647.98105796915502</v>
      </c>
      <c r="L86" s="304">
        <f t="shared" ca="1" si="29"/>
        <v>661.68654508626719</v>
      </c>
      <c r="M86" s="306">
        <f t="shared" ca="1" si="45"/>
        <v>1.3482005249081273</v>
      </c>
      <c r="N86" s="304">
        <f t="shared" ca="1" si="46"/>
        <v>77.246200014557914</v>
      </c>
      <c r="P86" s="310">
        <f t="shared" ca="1" si="47"/>
        <v>7</v>
      </c>
      <c r="Q86" s="304">
        <f t="shared" ca="1" si="48"/>
        <v>56.750000000006082</v>
      </c>
      <c r="R86" s="306">
        <f t="shared" ca="1" si="49"/>
        <v>3.0120050547602212E-2</v>
      </c>
      <c r="S86" s="307">
        <f t="shared" ca="1" si="50"/>
        <v>2.6822244313395101</v>
      </c>
      <c r="T86" s="304">
        <f t="shared" ca="1" si="30"/>
        <v>26.312621671440596</v>
      </c>
      <c r="U86" s="311">
        <f t="shared" ca="1" si="31"/>
        <v>0</v>
      </c>
      <c r="V86" s="306">
        <f t="shared" ca="1" si="32"/>
        <v>1.1481133742535226</v>
      </c>
      <c r="W86" s="304">
        <f t="shared" ca="1" si="33"/>
        <v>88.330093654764283</v>
      </c>
      <c r="Y86" s="314" t="str">
        <f t="shared" ca="1" si="51"/>
        <v/>
      </c>
      <c r="Z86" s="315" t="str">
        <f t="shared" ca="1" si="52"/>
        <v/>
      </c>
      <c r="AA86" s="316" t="str">
        <f t="shared" ca="1" si="53"/>
        <v/>
      </c>
      <c r="AC86" s="310" t="e">
        <f t="shared" ca="1" si="54"/>
        <v>#N/A</v>
      </c>
      <c r="AD86" s="323" t="e">
        <f t="shared" ca="1" si="55"/>
        <v>#N/A</v>
      </c>
      <c r="AE86" s="324">
        <f t="shared" ca="1" si="34"/>
        <v>647.98105796915502</v>
      </c>
      <c r="AG86" s="306">
        <f t="shared" ca="1" si="56"/>
        <v>-21.421129012060529</v>
      </c>
      <c r="AH86" s="304">
        <f t="shared" ca="1" si="57"/>
        <v>-11.852922668376102</v>
      </c>
    </row>
    <row r="87" spans="1:34" x14ac:dyDescent="0.2">
      <c r="A87" s="347">
        <f t="shared" ca="1" si="35"/>
        <v>0.01</v>
      </c>
      <c r="B87" s="304">
        <f t="shared" ca="1" si="36"/>
        <v>4.0299999999999825</v>
      </c>
      <c r="D87" s="306">
        <f t="shared" ca="1" si="37"/>
        <v>-2.8875928161918258</v>
      </c>
      <c r="E87" s="307">
        <f t="shared" ca="1" si="38"/>
        <v>-22.567393285227666</v>
      </c>
      <c r="F87" s="304">
        <f t="shared" ca="1" si="39"/>
        <v>22.751383078007841</v>
      </c>
      <c r="G87" s="306">
        <f t="shared" ca="1" si="40"/>
        <v>42.761892108065709</v>
      </c>
      <c r="H87" s="307">
        <f t="shared" ca="1" si="41"/>
        <v>188.82406111082994</v>
      </c>
      <c r="I87" s="304">
        <f t="shared" ca="1" si="42"/>
        <v>193.60554090998608</v>
      </c>
      <c r="J87" s="306">
        <f t="shared" ca="1" si="43"/>
        <v>134.40400172147773</v>
      </c>
      <c r="K87" s="307">
        <f t="shared" ca="1" si="44"/>
        <v>649.87042694992761</v>
      </c>
      <c r="L87" s="304">
        <f t="shared" ca="1" si="29"/>
        <v>663.62339282369192</v>
      </c>
      <c r="M87" s="306">
        <f t="shared" ca="1" si="45"/>
        <v>1.3480886646583807</v>
      </c>
      <c r="N87" s="304">
        <f t="shared" ca="1" si="46"/>
        <v>77.239790894352154</v>
      </c>
      <c r="P87" s="310">
        <f t="shared" ca="1" si="47"/>
        <v>7</v>
      </c>
      <c r="Q87" s="304">
        <f t="shared" ca="1" si="48"/>
        <v>53.250000000006153</v>
      </c>
      <c r="R87" s="306">
        <f t="shared" ca="1" si="49"/>
        <v>2.8262426284754737E-2</v>
      </c>
      <c r="S87" s="307">
        <f t="shared" ca="1" si="50"/>
        <v>2.6819418070766625</v>
      </c>
      <c r="T87" s="304">
        <f t="shared" ca="1" si="30"/>
        <v>26.309849127422062</v>
      </c>
      <c r="U87" s="311">
        <f t="shared" ca="1" si="31"/>
        <v>0</v>
      </c>
      <c r="V87" s="306">
        <f t="shared" ca="1" si="32"/>
        <v>1.1478962452011618</v>
      </c>
      <c r="W87" s="304">
        <f t="shared" ca="1" si="33"/>
        <v>88.107133023703639</v>
      </c>
      <c r="Y87" s="314" t="str">
        <f t="shared" ca="1" si="51"/>
        <v/>
      </c>
      <c r="Z87" s="315" t="str">
        <f t="shared" ca="1" si="52"/>
        <v/>
      </c>
      <c r="AA87" s="316" t="str">
        <f t="shared" ca="1" si="53"/>
        <v/>
      </c>
      <c r="AC87" s="310" t="e">
        <f t="shared" ca="1" si="54"/>
        <v>#N/A</v>
      </c>
      <c r="AD87" s="323" t="e">
        <f t="shared" ca="1" si="55"/>
        <v>#N/A</v>
      </c>
      <c r="AE87" s="324">
        <f t="shared" ca="1" si="34"/>
        <v>649.87042694992761</v>
      </c>
      <c r="AG87" s="306">
        <f t="shared" ca="1" si="56"/>
        <v>-22.648074479824118</v>
      </c>
      <c r="AH87" s="304">
        <f t="shared" ca="1" si="57"/>
        <v>-13.080109927141075</v>
      </c>
    </row>
    <row r="88" spans="1:34" x14ac:dyDescent="0.2">
      <c r="A88" s="347">
        <f t="shared" ca="1" si="35"/>
        <v>0.01</v>
      </c>
      <c r="B88" s="304">
        <f t="shared" ca="1" si="36"/>
        <v>4.0399999999999823</v>
      </c>
      <c r="D88" s="306">
        <f t="shared" ca="1" si="37"/>
        <v>-3.1592113390850729</v>
      </c>
      <c r="E88" s="307">
        <f t="shared" ca="1" si="38"/>
        <v>-23.760157150340611</v>
      </c>
      <c r="F88" s="304">
        <f t="shared" ca="1" si="39"/>
        <v>23.969265405804279</v>
      </c>
      <c r="G88" s="306">
        <f t="shared" ca="1" si="40"/>
        <v>42.730299994674859</v>
      </c>
      <c r="H88" s="307">
        <f t="shared" ca="1" si="41"/>
        <v>188.58645953932654</v>
      </c>
      <c r="I88" s="304">
        <f t="shared" ca="1" si="42"/>
        <v>193.36683081442112</v>
      </c>
      <c r="J88" s="306">
        <f t="shared" ca="1" si="43"/>
        <v>134.83146268199144</v>
      </c>
      <c r="K88" s="307">
        <f t="shared" ca="1" si="44"/>
        <v>651.75747955317843</v>
      </c>
      <c r="L88" s="304">
        <f t="shared" ca="1" si="29"/>
        <v>665.55791294407811</v>
      </c>
      <c r="M88" s="306">
        <f t="shared" ca="1" si="45"/>
        <v>1.3479766109691265</v>
      </c>
      <c r="N88" s="304">
        <f t="shared" ca="1" si="46"/>
        <v>77.233370690879013</v>
      </c>
      <c r="P88" s="310">
        <f t="shared" ca="1" si="47"/>
        <v>7</v>
      </c>
      <c r="Q88" s="304">
        <f t="shared" ca="1" si="48"/>
        <v>49.750000000006224</v>
      </c>
      <c r="R88" s="306">
        <f t="shared" ca="1" si="49"/>
        <v>2.6404802021907259E-2</v>
      </c>
      <c r="S88" s="307">
        <f t="shared" ca="1" si="50"/>
        <v>2.6816777590564436</v>
      </c>
      <c r="T88" s="304">
        <f t="shared" ca="1" si="30"/>
        <v>26.307258816343712</v>
      </c>
      <c r="U88" s="311">
        <f t="shared" ca="1" si="31"/>
        <v>0</v>
      </c>
      <c r="V88" s="306">
        <f t="shared" ca="1" si="32"/>
        <v>1.1476794220062749</v>
      </c>
      <c r="W88" s="304">
        <f t="shared" ca="1" si="33"/>
        <v>87.873398496846548</v>
      </c>
      <c r="Y88" s="314" t="str">
        <f t="shared" ca="1" si="51"/>
        <v/>
      </c>
      <c r="Z88" s="315" t="str">
        <f t="shared" ca="1" si="52"/>
        <v/>
      </c>
      <c r="AA88" s="316" t="str">
        <f t="shared" ca="1" si="53"/>
        <v/>
      </c>
      <c r="AC88" s="310" t="e">
        <f t="shared" ca="1" si="54"/>
        <v>#N/A</v>
      </c>
      <c r="AD88" s="323" t="e">
        <f t="shared" ca="1" si="55"/>
        <v>#N/A</v>
      </c>
      <c r="AE88" s="324">
        <f t="shared" ca="1" si="34"/>
        <v>651.75747955317843</v>
      </c>
      <c r="AG88" s="306">
        <f t="shared" ca="1" si="56"/>
        <v>-23.871130952476747</v>
      </c>
      <c r="AH88" s="304">
        <f t="shared" ca="1" si="57"/>
        <v>-14.303408712758049</v>
      </c>
    </row>
    <row r="89" spans="1:34" x14ac:dyDescent="0.2">
      <c r="A89" s="347">
        <f t="shared" ca="1" si="35"/>
        <v>0.01</v>
      </c>
      <c r="B89" s="304">
        <f t="shared" ca="1" si="36"/>
        <v>4.0499999999999821</v>
      </c>
      <c r="D89" s="306">
        <f t="shared" ca="1" si="37"/>
        <v>-3.4302412477762432</v>
      </c>
      <c r="E89" s="307">
        <f t="shared" ca="1" si="38"/>
        <v>-24.949071159446611</v>
      </c>
      <c r="F89" s="304">
        <f t="shared" ca="1" si="39"/>
        <v>25.183778642949434</v>
      </c>
      <c r="G89" s="306">
        <f t="shared" ca="1" si="40"/>
        <v>42.695997582197094</v>
      </c>
      <c r="H89" s="307">
        <f t="shared" ca="1" si="41"/>
        <v>188.33696882773208</v>
      </c>
      <c r="I89" s="304">
        <f t="shared" ca="1" si="42"/>
        <v>193.11592900834748</v>
      </c>
      <c r="J89" s="306">
        <f t="shared" ca="1" si="43"/>
        <v>135.25859416987581</v>
      </c>
      <c r="K89" s="307">
        <f t="shared" ca="1" si="44"/>
        <v>653.64209669501372</v>
      </c>
      <c r="L89" s="304">
        <f t="shared" ca="1" si="29"/>
        <v>667.48998334706482</v>
      </c>
      <c r="M89" s="306">
        <f t="shared" ca="1" si="45"/>
        <v>1.3478643561813759</v>
      </c>
      <c r="N89" s="304">
        <f t="shared" ca="1" si="46"/>
        <v>77.226938965310765</v>
      </c>
      <c r="P89" s="310">
        <f t="shared" ca="1" si="47"/>
        <v>8</v>
      </c>
      <c r="Q89" s="304">
        <f t="shared" ca="1" si="48"/>
        <v>46.250000000006295</v>
      </c>
      <c r="R89" s="306">
        <f t="shared" ca="1" si="49"/>
        <v>2.4547177759059784E-2</v>
      </c>
      <c r="S89" s="307">
        <f t="shared" ca="1" si="50"/>
        <v>2.6814322872788532</v>
      </c>
      <c r="T89" s="304">
        <f t="shared" ca="1" si="30"/>
        <v>26.304850738205552</v>
      </c>
      <c r="U89" s="311">
        <f t="shared" ca="1" si="31"/>
        <v>0</v>
      </c>
      <c r="V89" s="306">
        <f t="shared" ca="1" si="32"/>
        <v>1.1474629181911196</v>
      </c>
      <c r="W89" s="304">
        <f t="shared" ca="1" si="33"/>
        <v>87.628973516347415</v>
      </c>
      <c r="Y89" s="314" t="str">
        <f t="shared" ca="1" si="51"/>
        <v/>
      </c>
      <c r="Z89" s="315" t="str">
        <f t="shared" ca="1" si="52"/>
        <v/>
      </c>
      <c r="AA89" s="316" t="str">
        <f t="shared" ca="1" si="53"/>
        <v/>
      </c>
      <c r="AC89" s="310" t="e">
        <f t="shared" ca="1" si="54"/>
        <v>#N/A</v>
      </c>
      <c r="AD89" s="323" t="e">
        <f t="shared" ca="1" si="55"/>
        <v>#N/A</v>
      </c>
      <c r="AE89" s="324">
        <f t="shared" ca="1" si="34"/>
        <v>653.64209669501372</v>
      </c>
      <c r="AG89" s="306">
        <f t="shared" ca="1" si="56"/>
        <v>-25.090302281380275</v>
      </c>
      <c r="AH89" s="304">
        <f t="shared" ca="1" si="57"/>
        <v>-15.522822893685722</v>
      </c>
    </row>
    <row r="90" spans="1:34" x14ac:dyDescent="0.2">
      <c r="A90" s="347">
        <f t="shared" ca="1" si="35"/>
        <v>0.01</v>
      </c>
      <c r="B90" s="304">
        <f t="shared" ca="1" si="36"/>
        <v>4.0599999999999818</v>
      </c>
      <c r="D90" s="306">
        <f t="shared" ca="1" si="37"/>
        <v>-3.7006831145392112</v>
      </c>
      <c r="E90" s="307">
        <f t="shared" ca="1" si="38"/>
        <v>-26.134139962826467</v>
      </c>
      <c r="F90" s="304">
        <f t="shared" ca="1" si="39"/>
        <v>26.394854178624268</v>
      </c>
      <c r="G90" s="306">
        <f t="shared" ca="1" si="40"/>
        <v>42.658990751051704</v>
      </c>
      <c r="H90" s="307">
        <f t="shared" ca="1" si="41"/>
        <v>188.07562742810381</v>
      </c>
      <c r="I90" s="304">
        <f t="shared" ca="1" si="42"/>
        <v>192.85287429637452</v>
      </c>
      <c r="J90" s="306">
        <f t="shared" ca="1" si="43"/>
        <v>135.68536911154206</v>
      </c>
      <c r="K90" s="307">
        <f t="shared" ca="1" si="44"/>
        <v>655.52415967629292</v>
      </c>
      <c r="L90" s="304">
        <f t="shared" ca="1" si="29"/>
        <v>669.41948232049936</v>
      </c>
      <c r="M90" s="306">
        <f t="shared" ca="1" si="45"/>
        <v>1.3477518925869469</v>
      </c>
      <c r="N90" s="304">
        <f t="shared" ca="1" si="46"/>
        <v>77.220495276001117</v>
      </c>
      <c r="P90" s="310">
        <f t="shared" ca="1" si="47"/>
        <v>8</v>
      </c>
      <c r="Q90" s="304">
        <f t="shared" ca="1" si="48"/>
        <v>42.750000000006374</v>
      </c>
      <c r="R90" s="306">
        <f t="shared" ca="1" si="49"/>
        <v>2.2689553496212312E-2</v>
      </c>
      <c r="S90" s="307">
        <f t="shared" ca="1" si="50"/>
        <v>2.6812053917438909</v>
      </c>
      <c r="T90" s="304">
        <f t="shared" ca="1" si="30"/>
        <v>26.302624893007572</v>
      </c>
      <c r="U90" s="311">
        <f t="shared" ca="1" si="31"/>
        <v>0</v>
      </c>
      <c r="V90" s="306">
        <f t="shared" ca="1" si="32"/>
        <v>1.1472467472240566</v>
      </c>
      <c r="W90" s="304">
        <f t="shared" ca="1" si="33"/>
        <v>87.373943307895274</v>
      </c>
      <c r="Y90" s="314" t="str">
        <f t="shared" ca="1" si="51"/>
        <v/>
      </c>
      <c r="Z90" s="315" t="str">
        <f t="shared" ca="1" si="52"/>
        <v/>
      </c>
      <c r="AA90" s="316" t="str">
        <f t="shared" ca="1" si="53"/>
        <v/>
      </c>
      <c r="AC90" s="310" t="e">
        <f t="shared" ca="1" si="54"/>
        <v>#N/A</v>
      </c>
      <c r="AD90" s="323" t="e">
        <f t="shared" ca="1" si="55"/>
        <v>#N/A</v>
      </c>
      <c r="AE90" s="324">
        <f t="shared" ca="1" si="34"/>
        <v>655.52415967629292</v>
      </c>
      <c r="AG90" s="306">
        <f t="shared" ca="1" si="56"/>
        <v>-26.30559315803356</v>
      </c>
      <c r="AH90" s="304">
        <f t="shared" ca="1" si="57"/>
        <v>-16.73835717865358</v>
      </c>
    </row>
    <row r="91" spans="1:34" x14ac:dyDescent="0.2">
      <c r="A91" s="347">
        <f t="shared" ca="1" si="35"/>
        <v>0.01</v>
      </c>
      <c r="B91" s="304">
        <f t="shared" ca="1" si="36"/>
        <v>4.0699999999999816</v>
      </c>
      <c r="D91" s="306">
        <f t="shared" ca="1" si="37"/>
        <v>-3.9705377295523121</v>
      </c>
      <c r="E91" s="307">
        <f t="shared" ca="1" si="38"/>
        <v>-27.315369010496333</v>
      </c>
      <c r="F91" s="304">
        <f t="shared" ca="1" si="39"/>
        <v>27.602437465582309</v>
      </c>
      <c r="G91" s="306">
        <f t="shared" ca="1" si="40"/>
        <v>42.619285373756178</v>
      </c>
      <c r="H91" s="307">
        <f t="shared" ca="1" si="41"/>
        <v>187.80247373799884</v>
      </c>
      <c r="I91" s="304">
        <f t="shared" ca="1" si="42"/>
        <v>192.57770542791658</v>
      </c>
      <c r="J91" s="306">
        <f t="shared" ca="1" si="43"/>
        <v>136.1117604921661</v>
      </c>
      <c r="K91" s="307">
        <f t="shared" ca="1" si="44"/>
        <v>657.40355018212347</v>
      </c>
      <c r="L91" s="304">
        <f t="shared" ca="1" si="29"/>
        <v>671.3462885399282</v>
      </c>
      <c r="M91" s="306">
        <f t="shared" ca="1" si="45"/>
        <v>1.3476392124253902</v>
      </c>
      <c r="N91" s="304">
        <f t="shared" ca="1" si="46"/>
        <v>77.214039178309065</v>
      </c>
      <c r="P91" s="310">
        <f t="shared" ca="1" si="47"/>
        <v>8</v>
      </c>
      <c r="Q91" s="304">
        <f t="shared" ca="1" si="48"/>
        <v>39.250000000006452</v>
      </c>
      <c r="R91" s="306">
        <f t="shared" ca="1" si="49"/>
        <v>2.0831929233364837E-2</v>
      </c>
      <c r="S91" s="307">
        <f t="shared" ca="1" si="50"/>
        <v>2.6809970724515573</v>
      </c>
      <c r="T91" s="304">
        <f t="shared" ca="1" si="30"/>
        <v>26.300581280749778</v>
      </c>
      <c r="U91" s="311">
        <f t="shared" ca="1" si="31"/>
        <v>0</v>
      </c>
      <c r="V91" s="306">
        <f t="shared" ca="1" si="32"/>
        <v>1.1470309225196891</v>
      </c>
      <c r="W91" s="304">
        <f t="shared" ca="1" si="33"/>
        <v>87.108394848565894</v>
      </c>
      <c r="Y91" s="314" t="str">
        <f t="shared" ca="1" si="51"/>
        <v/>
      </c>
      <c r="Z91" s="315" t="str">
        <f t="shared" ca="1" si="52"/>
        <v/>
      </c>
      <c r="AA91" s="316" t="str">
        <f t="shared" ca="1" si="53"/>
        <v/>
      </c>
      <c r="AC91" s="310" t="e">
        <f t="shared" ca="1" si="54"/>
        <v>#N/A</v>
      </c>
      <c r="AD91" s="323" t="e">
        <f t="shared" ca="1" si="55"/>
        <v>#N/A</v>
      </c>
      <c r="AE91" s="324">
        <f t="shared" ca="1" si="34"/>
        <v>657.40355018212347</v>
      </c>
      <c r="AG91" s="306">
        <f t="shared" ca="1" si="56"/>
        <v>-27.517009102003918</v>
      </c>
      <c r="AH91" s="304">
        <f t="shared" ca="1" si="57"/>
        <v>-17.950017104600313</v>
      </c>
    </row>
    <row r="92" spans="1:34" x14ac:dyDescent="0.2">
      <c r="A92" s="347">
        <f t="shared" ca="1" si="35"/>
        <v>0.01</v>
      </c>
      <c r="B92" s="304">
        <f t="shared" ca="1" si="36"/>
        <v>4.0799999999999814</v>
      </c>
      <c r="D92" s="306">
        <f t="shared" ca="1" si="37"/>
        <v>-4.2398060987544959</v>
      </c>
      <c r="E92" s="307">
        <f t="shared" ca="1" si="38"/>
        <v>-28.492764540342471</v>
      </c>
      <c r="F92" s="304">
        <f t="shared" ca="1" si="39"/>
        <v>28.806485153632213</v>
      </c>
      <c r="G92" s="306">
        <f t="shared" ca="1" si="40"/>
        <v>42.576887312768633</v>
      </c>
      <c r="H92" s="307">
        <f t="shared" ca="1" si="41"/>
        <v>187.51754609259541</v>
      </c>
      <c r="I92" s="304">
        <f t="shared" ca="1" si="42"/>
        <v>192.29046108903282</v>
      </c>
      <c r="J92" s="306">
        <f t="shared" ca="1" si="43"/>
        <v>136.53774135559871</v>
      </c>
      <c r="K92" s="307">
        <f t="shared" ca="1" si="44"/>
        <v>659.28015028127641</v>
      </c>
      <c r="L92" s="304">
        <f t="shared" ca="1" si="29"/>
        <v>673.27028106800526</v>
      </c>
      <c r="M92" s="306">
        <f t="shared" ca="1" si="45"/>
        <v>1.3475263078808728</v>
      </c>
      <c r="N92" s="304">
        <f t="shared" ca="1" si="46"/>
        <v>77.20757022442038</v>
      </c>
      <c r="P92" s="310">
        <f t="shared" ca="1" si="47"/>
        <v>8</v>
      </c>
      <c r="Q92" s="304">
        <f t="shared" ca="1" si="48"/>
        <v>35.750000000006523</v>
      </c>
      <c r="R92" s="306">
        <f t="shared" ca="1" si="49"/>
        <v>1.8974304970517362E-2</v>
      </c>
      <c r="S92" s="307">
        <f t="shared" ca="1" si="50"/>
        <v>2.6808073294018522</v>
      </c>
      <c r="T92" s="304">
        <f t="shared" ca="1" si="30"/>
        <v>26.298719901432172</v>
      </c>
      <c r="U92" s="311">
        <f t="shared" ca="1" si="31"/>
        <v>0</v>
      </c>
      <c r="V92" s="306">
        <f t="shared" ca="1" si="32"/>
        <v>1.1468154574390079</v>
      </c>
      <c r="W92" s="304">
        <f t="shared" ca="1" si="33"/>
        <v>86.832416835028525</v>
      </c>
      <c r="Y92" s="314" t="str">
        <f t="shared" ca="1" si="51"/>
        <v/>
      </c>
      <c r="Z92" s="315" t="str">
        <f t="shared" ca="1" si="52"/>
        <v/>
      </c>
      <c r="AA92" s="316" t="str">
        <f t="shared" ca="1" si="53"/>
        <v/>
      </c>
      <c r="AC92" s="310" t="e">
        <f t="shared" ca="1" si="54"/>
        <v>#N/A</v>
      </c>
      <c r="AD92" s="323" t="e">
        <f t="shared" ca="1" si="55"/>
        <v>#N/A</v>
      </c>
      <c r="AE92" s="324">
        <f t="shared" ca="1" si="34"/>
        <v>659.28015028127641</v>
      </c>
      <c r="AG92" s="306">
        <f t="shared" ca="1" si="56"/>
        <v>-28.724556448894994</v>
      </c>
      <c r="AH92" s="304">
        <f t="shared" ca="1" si="57"/>
        <v>-19.15780902464877</v>
      </c>
    </row>
    <row r="93" spans="1:34" x14ac:dyDescent="0.2">
      <c r="A93" s="347">
        <f t="shared" ca="1" si="35"/>
        <v>0.01</v>
      </c>
      <c r="B93" s="304">
        <f t="shared" ca="1" si="36"/>
        <v>4.0899999999999812</v>
      </c>
      <c r="D93" s="306">
        <f t="shared" ca="1" si="37"/>
        <v>-4.4671940307314912</v>
      </c>
      <c r="E93" s="307">
        <f t="shared" ca="1" si="38"/>
        <v>-29.484459910812774</v>
      </c>
      <c r="F93" s="304">
        <f t="shared" ca="1" si="39"/>
        <v>29.820952344627237</v>
      </c>
      <c r="G93" s="306">
        <f t="shared" ca="1" si="40"/>
        <v>42.532215372461316</v>
      </c>
      <c r="H93" s="307">
        <f t="shared" ca="1" si="41"/>
        <v>187.22270149348728</v>
      </c>
      <c r="I93" s="304">
        <f t="shared" ca="1" si="42"/>
        <v>191.9930449235307</v>
      </c>
      <c r="J93" s="306">
        <f t="shared" ca="1" si="43"/>
        <v>136.96328686902487</v>
      </c>
      <c r="K93" s="307">
        <f t="shared" ca="1" si="44"/>
        <v>661.1538515192068</v>
      </c>
      <c r="L93" s="304">
        <f t="shared" ca="1" si="29"/>
        <v>675.1913486772828</v>
      </c>
      <c r="M93" s="306">
        <f t="shared" ca="1" si="45"/>
        <v>1.3474131721780283</v>
      </c>
      <c r="N93" s="304">
        <f t="shared" ca="1" si="46"/>
        <v>77.201088026135139</v>
      </c>
      <c r="P93" s="310">
        <f t="shared" ca="1" si="47"/>
        <v>9</v>
      </c>
      <c r="Q93" s="304">
        <f t="shared" ca="1" si="48"/>
        <v>32.750000000004718</v>
      </c>
      <c r="R93" s="306">
        <f t="shared" ca="1" si="49"/>
        <v>1.738205560236139E-2</v>
      </c>
      <c r="S93" s="307">
        <f t="shared" ca="1" si="50"/>
        <v>2.6806335088458284</v>
      </c>
      <c r="T93" s="304">
        <f t="shared" ca="1" si="30"/>
        <v>26.297014721777579</v>
      </c>
      <c r="U93" s="311">
        <f t="shared" ca="1" si="31"/>
        <v>0</v>
      </c>
      <c r="V93" s="306">
        <f t="shared" ca="1" si="32"/>
        <v>1.1466003642457292</v>
      </c>
      <c r="W93" s="304">
        <f t="shared" ca="1" si="33"/>
        <v>86.547781023298157</v>
      </c>
      <c r="Y93" s="314" t="str">
        <f t="shared" ca="1" si="51"/>
        <v/>
      </c>
      <c r="Z93" s="315" t="str">
        <f t="shared" ca="1" si="52"/>
        <v/>
      </c>
      <c r="AA93" s="316" t="str">
        <f t="shared" ca="1" si="53"/>
        <v/>
      </c>
      <c r="AC93" s="310" t="e">
        <f t="shared" ca="1" si="54"/>
        <v>#N/A</v>
      </c>
      <c r="AD93" s="323" t="e">
        <f t="shared" ca="1" si="55"/>
        <v>#N/A</v>
      </c>
      <c r="AE93" s="324">
        <f t="shared" ca="1" si="34"/>
        <v>661.1538515192068</v>
      </c>
      <c r="AG93" s="306">
        <f t="shared" ca="1" si="56"/>
        <v>-29.741739422757181</v>
      </c>
      <c r="AH93" s="304">
        <f t="shared" ca="1" si="57"/>
        <v>-20.175237180523602</v>
      </c>
    </row>
    <row r="94" spans="1:34" x14ac:dyDescent="0.2">
      <c r="A94" s="347">
        <f t="shared" ca="1" si="35"/>
        <v>0.01</v>
      </c>
      <c r="B94" s="304">
        <f t="shared" ca="1" si="36"/>
        <v>4.099999999999981</v>
      </c>
      <c r="D94" s="306">
        <f t="shared" ca="1" si="37"/>
        <v>-4.6527782579296328</v>
      </c>
      <c r="E94" s="307">
        <f t="shared" ca="1" si="38"/>
        <v>-30.291080218167281</v>
      </c>
      <c r="F94" s="304">
        <f t="shared" ca="1" si="39"/>
        <v>30.646335609676207</v>
      </c>
      <c r="G94" s="306">
        <f t="shared" ca="1" si="40"/>
        <v>42.485687589882019</v>
      </c>
      <c r="H94" s="307">
        <f t="shared" ca="1" si="41"/>
        <v>186.91979069130559</v>
      </c>
      <c r="I94" s="304">
        <f t="shared" ca="1" si="42"/>
        <v>191.68735430921504</v>
      </c>
      <c r="J94" s="306">
        <f t="shared" ca="1" si="43"/>
        <v>137.3883763838366</v>
      </c>
      <c r="K94" s="307">
        <f t="shared" ca="1" si="44"/>
        <v>663.02456398013078</v>
      </c>
      <c r="L94" s="304">
        <f t="shared" ca="1" si="29"/>
        <v>677.10939914199184</v>
      </c>
      <c r="M94" s="306">
        <f t="shared" ca="1" si="45"/>
        <v>1.3472997995919869</v>
      </c>
      <c r="N94" s="304">
        <f t="shared" ca="1" si="46"/>
        <v>77.194592255442487</v>
      </c>
      <c r="P94" s="310">
        <f t="shared" ca="1" si="47"/>
        <v>9</v>
      </c>
      <c r="Q94" s="304">
        <f t="shared" ca="1" si="48"/>
        <v>30.250000000004775</v>
      </c>
      <c r="R94" s="306">
        <f t="shared" ca="1" si="49"/>
        <v>1.6055181128898911E-2</v>
      </c>
      <c r="S94" s="307">
        <f t="shared" ca="1" si="50"/>
        <v>2.6804729570345396</v>
      </c>
      <c r="T94" s="304">
        <f t="shared" ca="1" si="30"/>
        <v>26.295439708508834</v>
      </c>
      <c r="U94" s="311">
        <f t="shared" ca="1" si="31"/>
        <v>0</v>
      </c>
      <c r="V94" s="306">
        <f t="shared" ca="1" si="32"/>
        <v>1.1463856530673151</v>
      </c>
      <c r="W94" s="304">
        <f t="shared" ca="1" si="33"/>
        <v>86.256243038904927</v>
      </c>
      <c r="Y94" s="314" t="str">
        <f t="shared" ca="1" si="51"/>
        <v/>
      </c>
      <c r="Z94" s="315" t="str">
        <f t="shared" ca="1" si="52"/>
        <v/>
      </c>
      <c r="AA94" s="316" t="str">
        <f t="shared" ca="1" si="53"/>
        <v/>
      </c>
      <c r="AC94" s="310" t="e">
        <f t="shared" ca="1" si="54"/>
        <v>#N/A</v>
      </c>
      <c r="AD94" s="323" t="e">
        <f t="shared" ca="1" si="55"/>
        <v>#N/A</v>
      </c>
      <c r="AE94" s="324">
        <f t="shared" ca="1" si="34"/>
        <v>663.02456398013078</v>
      </c>
      <c r="AG94" s="306">
        <f t="shared" ca="1" si="56"/>
        <v>-30.569184622731427</v>
      </c>
      <c r="AH94" s="304">
        <f t="shared" ca="1" si="57"/>
        <v>-21.002928186813993</v>
      </c>
    </row>
    <row r="95" spans="1:34" x14ac:dyDescent="0.2">
      <c r="A95" s="347">
        <f t="shared" ca="1" si="35"/>
        <v>0.01</v>
      </c>
      <c r="B95" s="304">
        <f t="shared" ca="1" si="36"/>
        <v>4.1099999999999808</v>
      </c>
      <c r="D95" s="306">
        <f t="shared" ca="1" si="37"/>
        <v>-4.8379773702289262</v>
      </c>
      <c r="E95" s="307">
        <f t="shared" ca="1" si="38"/>
        <v>-31.095137859645376</v>
      </c>
      <c r="F95" s="304">
        <f t="shared" ca="1" si="39"/>
        <v>31.469248855751204</v>
      </c>
      <c r="G95" s="306">
        <f t="shared" ca="1" si="40"/>
        <v>42.437307816179732</v>
      </c>
      <c r="H95" s="307">
        <f t="shared" ca="1" si="41"/>
        <v>186.60883931270914</v>
      </c>
      <c r="I95" s="304">
        <f t="shared" ca="1" si="42"/>
        <v>191.37341509290596</v>
      </c>
      <c r="J95" s="306">
        <f t="shared" ca="1" si="43"/>
        <v>137.8129913608669</v>
      </c>
      <c r="K95" s="307">
        <f t="shared" ca="1" si="44"/>
        <v>664.89220713015084</v>
      </c>
      <c r="L95" s="304">
        <f t="shared" ca="1" si="29"/>
        <v>679.02434985075001</v>
      </c>
      <c r="M95" s="306">
        <f t="shared" ca="1" si="45"/>
        <v>1.3471861843522122</v>
      </c>
      <c r="N95" s="304">
        <f t="shared" ca="1" si="46"/>
        <v>77.188082581715022</v>
      </c>
      <c r="P95" s="310">
        <f t="shared" ca="1" si="47"/>
        <v>9</v>
      </c>
      <c r="Q95" s="304">
        <f t="shared" ca="1" si="48"/>
        <v>27.750000000004832</v>
      </c>
      <c r="R95" s="306">
        <f t="shared" ca="1" si="49"/>
        <v>1.4728306655436429E-2</v>
      </c>
      <c r="S95" s="307">
        <f t="shared" ca="1" si="50"/>
        <v>2.6803256739679853</v>
      </c>
      <c r="T95" s="304">
        <f t="shared" ca="1" si="30"/>
        <v>26.293994861625936</v>
      </c>
      <c r="U95" s="311">
        <f t="shared" ca="1" si="31"/>
        <v>0</v>
      </c>
      <c r="V95" s="306">
        <f t="shared" ca="1" si="32"/>
        <v>1.1461713329476355</v>
      </c>
      <c r="W95" s="304">
        <f t="shared" ca="1" si="33"/>
        <v>85.957866074726695</v>
      </c>
      <c r="Y95" s="314" t="str">
        <f t="shared" ca="1" si="51"/>
        <v/>
      </c>
      <c r="Z95" s="315" t="str">
        <f t="shared" ca="1" si="52"/>
        <v/>
      </c>
      <c r="AA95" s="316" t="str">
        <f t="shared" ca="1" si="53"/>
        <v/>
      </c>
      <c r="AC95" s="310" t="e">
        <f t="shared" ca="1" si="54"/>
        <v>#N/A</v>
      </c>
      <c r="AD95" s="323" t="e">
        <f t="shared" ca="1" si="55"/>
        <v>#N/A</v>
      </c>
      <c r="AE95" s="324">
        <f t="shared" ca="1" si="34"/>
        <v>664.89220713015084</v>
      </c>
      <c r="AG95" s="306">
        <f t="shared" ca="1" si="56"/>
        <v>-31.394045147355733</v>
      </c>
      <c r="AH95" s="304">
        <f t="shared" ca="1" si="57"/>
        <v>-21.828035155252895</v>
      </c>
    </row>
    <row r="96" spans="1:34" x14ac:dyDescent="0.2">
      <c r="A96" s="347">
        <f t="shared" ca="1" si="35"/>
        <v>0.01</v>
      </c>
      <c r="B96" s="304">
        <f t="shared" ca="1" si="36"/>
        <v>4.1199999999999806</v>
      </c>
      <c r="D96" s="306">
        <f t="shared" ca="1" si="37"/>
        <v>-5.0227936188546227</v>
      </c>
      <c r="E96" s="307">
        <f t="shared" ca="1" si="38"/>
        <v>-31.896643464324249</v>
      </c>
      <c r="F96" s="304">
        <f t="shared" ca="1" si="39"/>
        <v>32.289693712202123</v>
      </c>
      <c r="G96" s="306">
        <f t="shared" ca="1" si="40"/>
        <v>42.387079879991184</v>
      </c>
      <c r="H96" s="307">
        <f t="shared" ca="1" si="41"/>
        <v>186.28987287806589</v>
      </c>
      <c r="I96" s="304">
        <f t="shared" ca="1" si="42"/>
        <v>191.05125301258482</v>
      </c>
      <c r="J96" s="306">
        <f t="shared" ca="1" si="43"/>
        <v>138.23711329934775</v>
      </c>
      <c r="K96" s="307">
        <f t="shared" ca="1" si="44"/>
        <v>666.7567006911047</v>
      </c>
      <c r="L96" s="304">
        <f t="shared" ca="1" si="29"/>
        <v>680.93611845005262</v>
      </c>
      <c r="M96" s="306">
        <f t="shared" ca="1" si="45"/>
        <v>1.3470723206407509</v>
      </c>
      <c r="N96" s="304">
        <f t="shared" ca="1" si="46"/>
        <v>77.181558671608599</v>
      </c>
      <c r="P96" s="310">
        <f t="shared" ca="1" si="47"/>
        <v>9</v>
      </c>
      <c r="Q96" s="304">
        <f t="shared" ca="1" si="48"/>
        <v>25.250000000004885</v>
      </c>
      <c r="R96" s="306">
        <f t="shared" ca="1" si="49"/>
        <v>1.3401432181973948E-2</v>
      </c>
      <c r="S96" s="307">
        <f t="shared" ca="1" si="50"/>
        <v>2.6801916596461655</v>
      </c>
      <c r="T96" s="304">
        <f t="shared" ca="1" si="30"/>
        <v>26.292680181128883</v>
      </c>
      <c r="U96" s="311">
        <f t="shared" ca="1" si="31"/>
        <v>0</v>
      </c>
      <c r="V96" s="306">
        <f t="shared" ca="1" si="32"/>
        <v>1.1459574128949521</v>
      </c>
      <c r="W96" s="304">
        <f t="shared" ca="1" si="33"/>
        <v>85.652713963920164</v>
      </c>
      <c r="Y96" s="314" t="str">
        <f t="shared" ca="1" si="51"/>
        <v/>
      </c>
      <c r="Z96" s="315" t="str">
        <f t="shared" ca="1" si="52"/>
        <v/>
      </c>
      <c r="AA96" s="316" t="str">
        <f t="shared" ca="1" si="53"/>
        <v/>
      </c>
      <c r="AC96" s="310" t="e">
        <f t="shared" ca="1" si="54"/>
        <v>#N/A</v>
      </c>
      <c r="AD96" s="323" t="e">
        <f t="shared" ca="1" si="55"/>
        <v>#N/A</v>
      </c>
      <c r="AE96" s="324">
        <f t="shared" ca="1" si="34"/>
        <v>666.7567006911047</v>
      </c>
      <c r="AG96" s="306">
        <f t="shared" ca="1" si="56"/>
        <v>-32.21633188056056</v>
      </c>
      <c r="AH96" s="304">
        <f t="shared" ca="1" si="57"/>
        <v>-22.650568983091439</v>
      </c>
    </row>
    <row r="97" spans="1:34" x14ac:dyDescent="0.2">
      <c r="A97" s="347">
        <f t="shared" ca="1" si="35"/>
        <v>0.01</v>
      </c>
      <c r="B97" s="304">
        <f t="shared" ca="1" si="36"/>
        <v>4.1299999999999804</v>
      </c>
      <c r="D97" s="306">
        <f t="shared" ca="1" si="37"/>
        <v>-5.196882849184365</v>
      </c>
      <c r="E97" s="307">
        <f t="shared" ca="1" si="38"/>
        <v>-32.650135439331358</v>
      </c>
      <c r="F97" s="304">
        <f t="shared" ca="1" si="39"/>
        <v>33.06113935657433</v>
      </c>
      <c r="G97" s="306">
        <f t="shared" ca="1" si="40"/>
        <v>42.335111051499339</v>
      </c>
      <c r="H97" s="307">
        <f t="shared" ca="1" si="41"/>
        <v>185.96337152367258</v>
      </c>
      <c r="I97" s="304">
        <f t="shared" ca="1" si="42"/>
        <v>190.72136004180092</v>
      </c>
      <c r="J97" s="306">
        <f t="shared" ca="1" si="43"/>
        <v>138.6607242540052</v>
      </c>
      <c r="K97" s="307">
        <f t="shared" ca="1" si="44"/>
        <v>668.61796691311338</v>
      </c>
      <c r="L97" s="304">
        <f t="shared" ca="1" si="29"/>
        <v>682.84462517447582</v>
      </c>
      <c r="M97" s="306">
        <f t="shared" ca="1" si="45"/>
        <v>1.3469582028694933</v>
      </c>
      <c r="N97" s="304">
        <f t="shared" ca="1" si="46"/>
        <v>77.175020204948098</v>
      </c>
      <c r="P97" s="310">
        <f t="shared" ca="1" si="47"/>
        <v>10</v>
      </c>
      <c r="Q97" s="304">
        <f t="shared" ca="1" si="48"/>
        <v>22.875000000004444</v>
      </c>
      <c r="R97" s="306">
        <f t="shared" ca="1" si="49"/>
        <v>1.2140901432184329E-2</v>
      </c>
      <c r="S97" s="307">
        <f t="shared" ca="1" si="50"/>
        <v>2.6800702506318435</v>
      </c>
      <c r="T97" s="304">
        <f t="shared" ca="1" si="30"/>
        <v>26.291489158698386</v>
      </c>
      <c r="U97" s="311">
        <f t="shared" ca="1" si="31"/>
        <v>0</v>
      </c>
      <c r="V97" s="306">
        <f t="shared" ca="1" si="32"/>
        <v>1.1457439016213149</v>
      </c>
      <c r="W97" s="304">
        <f t="shared" ca="1" si="33"/>
        <v>85.341268496155251</v>
      </c>
      <c r="Y97" s="314" t="str">
        <f t="shared" ca="1" si="51"/>
        <v/>
      </c>
      <c r="Z97" s="315" t="str">
        <f t="shared" ca="1" si="52"/>
        <v/>
      </c>
      <c r="AA97" s="316" t="str">
        <f t="shared" ca="1" si="53"/>
        <v/>
      </c>
      <c r="AC97" s="310" t="e">
        <f t="shared" ca="1" si="54"/>
        <v>#N/A</v>
      </c>
      <c r="AD97" s="323" t="e">
        <f t="shared" ca="1" si="55"/>
        <v>#N/A</v>
      </c>
      <c r="AE97" s="324">
        <f t="shared" ca="1" si="34"/>
        <v>668.61796691311338</v>
      </c>
      <c r="AG97" s="306">
        <f t="shared" ca="1" si="56"/>
        <v>-32.989421265323188</v>
      </c>
      <c r="AH97" s="304">
        <f t="shared" ca="1" si="57"/>
        <v>-23.423906126757487</v>
      </c>
    </row>
    <row r="98" spans="1:34" x14ac:dyDescent="0.2">
      <c r="A98" s="347">
        <f t="shared" ca="1" si="35"/>
        <v>0.01</v>
      </c>
      <c r="B98" s="304">
        <f t="shared" ca="1" si="36"/>
        <v>4.1399999999999801</v>
      </c>
      <c r="D98" s="306">
        <f t="shared" ca="1" si="37"/>
        <v>-5.3602666870469475</v>
      </c>
      <c r="E98" s="307">
        <f t="shared" ca="1" si="38"/>
        <v>-33.355781282507678</v>
      </c>
      <c r="F98" s="304">
        <f t="shared" ca="1" si="39"/>
        <v>33.783732829910235</v>
      </c>
      <c r="G98" s="306">
        <f t="shared" ca="1" si="40"/>
        <v>42.281508384628872</v>
      </c>
      <c r="H98" s="307">
        <f t="shared" ca="1" si="41"/>
        <v>185.62981371084751</v>
      </c>
      <c r="I98" s="304">
        <f t="shared" ca="1" si="42"/>
        <v>190.38422647268706</v>
      </c>
      <c r="J98" s="306">
        <f t="shared" ca="1" si="43"/>
        <v>139.08380735118584</v>
      </c>
      <c r="K98" s="307">
        <f t="shared" ca="1" si="44"/>
        <v>670.47593283928597</v>
      </c>
      <c r="L98" s="304">
        <f t="shared" ca="1" si="29"/>
        <v>684.74979516901828</v>
      </c>
      <c r="M98" s="306">
        <f t="shared" ca="1" si="45"/>
        <v>1.3468438256820876</v>
      </c>
      <c r="N98" s="304">
        <f t="shared" ca="1" si="46"/>
        <v>77.168466874837179</v>
      </c>
      <c r="P98" s="310">
        <f t="shared" ca="1" si="47"/>
        <v>10</v>
      </c>
      <c r="Q98" s="304">
        <f t="shared" ca="1" si="48"/>
        <v>20.625000000004487</v>
      </c>
      <c r="R98" s="306">
        <f t="shared" ca="1" si="49"/>
        <v>1.0946714406068092E-2</v>
      </c>
      <c r="S98" s="307">
        <f t="shared" ca="1" si="50"/>
        <v>2.679960783487783</v>
      </c>
      <c r="T98" s="304">
        <f t="shared" ca="1" si="30"/>
        <v>26.290415286015154</v>
      </c>
      <c r="U98" s="311">
        <f t="shared" ca="1" si="31"/>
        <v>0</v>
      </c>
      <c r="V98" s="306">
        <f t="shared" ca="1" si="32"/>
        <v>1.1455308072831289</v>
      </c>
      <c r="W98" s="304">
        <f t="shared" ca="1" si="33"/>
        <v>85.024007371392869</v>
      </c>
      <c r="Y98" s="314" t="str">
        <f t="shared" ca="1" si="51"/>
        <v/>
      </c>
      <c r="Z98" s="315" t="str">
        <f t="shared" ca="1" si="52"/>
        <v/>
      </c>
      <c r="AA98" s="316" t="str">
        <f t="shared" ca="1" si="53"/>
        <v/>
      </c>
      <c r="AC98" s="310" t="e">
        <f t="shared" ca="1" si="54"/>
        <v>#N/A</v>
      </c>
      <c r="AD98" s="323" t="e">
        <f t="shared" ca="1" si="55"/>
        <v>#N/A</v>
      </c>
      <c r="AE98" s="324">
        <f t="shared" ca="1" si="34"/>
        <v>670.47593283928597</v>
      </c>
      <c r="AG98" s="306">
        <f t="shared" ca="1" si="56"/>
        <v>-33.713481443053197</v>
      </c>
      <c r="AH98" s="304">
        <f t="shared" ca="1" si="57"/>
        <v>-24.148214740637744</v>
      </c>
    </row>
    <row r="99" spans="1:34" x14ac:dyDescent="0.2">
      <c r="A99" s="347">
        <f t="shared" ca="1" si="35"/>
        <v>0.01</v>
      </c>
      <c r="B99" s="304">
        <f t="shared" ca="1" si="36"/>
        <v>4.1499999999999799</v>
      </c>
      <c r="D99" s="306">
        <f t="shared" ca="1" si="37"/>
        <v>-5.5233245076052331</v>
      </c>
      <c r="E99" s="307">
        <f t="shared" ca="1" si="38"/>
        <v>-34.059222380724151</v>
      </c>
      <c r="F99" s="304">
        <f t="shared" ca="1" si="39"/>
        <v>34.504169933443315</v>
      </c>
      <c r="G99" s="306">
        <f t="shared" ca="1" si="40"/>
        <v>42.226275139552818</v>
      </c>
      <c r="H99" s="307">
        <f t="shared" ca="1" si="41"/>
        <v>185.28922148704027</v>
      </c>
      <c r="I99" s="304">
        <f t="shared" ca="1" si="42"/>
        <v>190.03987453014875</v>
      </c>
      <c r="J99" s="306">
        <f t="shared" ca="1" si="43"/>
        <v>139.50634626880674</v>
      </c>
      <c r="K99" s="307">
        <f t="shared" ca="1" si="44"/>
        <v>672.33052801527538</v>
      </c>
      <c r="L99" s="304">
        <f t="shared" ca="1" si="29"/>
        <v>686.65155614079197</v>
      </c>
      <c r="M99" s="306">
        <f t="shared" ca="1" si="45"/>
        <v>1.3467291836747455</v>
      </c>
      <c r="N99" s="304">
        <f t="shared" ca="1" si="46"/>
        <v>77.161898371661565</v>
      </c>
      <c r="P99" s="310">
        <f t="shared" ca="1" si="47"/>
        <v>10</v>
      </c>
      <c r="Q99" s="304">
        <f t="shared" ca="1" si="48"/>
        <v>18.37500000000453</v>
      </c>
      <c r="R99" s="306">
        <f t="shared" ca="1" si="49"/>
        <v>9.7525273799518551E-3</v>
      </c>
      <c r="S99" s="307">
        <f t="shared" ca="1" si="50"/>
        <v>2.6798632582139836</v>
      </c>
      <c r="T99" s="304">
        <f t="shared" ca="1" si="30"/>
        <v>26.289458563079179</v>
      </c>
      <c r="U99" s="311">
        <f t="shared" ca="1" si="31"/>
        <v>0</v>
      </c>
      <c r="V99" s="306">
        <f t="shared" ca="1" si="32"/>
        <v>1.1453181377443094</v>
      </c>
      <c r="W99" s="304">
        <f t="shared" ca="1" si="33"/>
        <v>84.700988327699889</v>
      </c>
      <c r="Y99" s="314" t="str">
        <f t="shared" ca="1" si="51"/>
        <v/>
      </c>
      <c r="Z99" s="315" t="str">
        <f t="shared" ca="1" si="52"/>
        <v/>
      </c>
      <c r="AA99" s="316" t="str">
        <f t="shared" ca="1" si="53"/>
        <v/>
      </c>
      <c r="AC99" s="310" t="e">
        <f t="shared" ca="1" si="54"/>
        <v>#N/A</v>
      </c>
      <c r="AD99" s="323" t="e">
        <f t="shared" ca="1" si="55"/>
        <v>#N/A</v>
      </c>
      <c r="AE99" s="324">
        <f t="shared" ca="1" si="34"/>
        <v>672.33052801527538</v>
      </c>
      <c r="AG99" s="306">
        <f t="shared" ca="1" si="56"/>
        <v>-34.435319136535817</v>
      </c>
      <c r="AH99" s="304">
        <f t="shared" ca="1" si="57"/>
        <v>-24.870301560015829</v>
      </c>
    </row>
    <row r="100" spans="1:34" x14ac:dyDescent="0.2">
      <c r="A100" s="347">
        <f t="shared" ca="1" si="35"/>
        <v>0.01</v>
      </c>
      <c r="B100" s="304">
        <f t="shared" ca="1" si="36"/>
        <v>4.1599999999999797</v>
      </c>
      <c r="D100" s="306">
        <f t="shared" ca="1" si="37"/>
        <v>-5.6860588320165686</v>
      </c>
      <c r="E100" s="307">
        <f t="shared" ca="1" si="38"/>
        <v>-34.760470076556636</v>
      </c>
      <c r="F100" s="304">
        <f t="shared" ca="1" si="39"/>
        <v>35.222457963412246</v>
      </c>
      <c r="G100" s="306">
        <f t="shared" ca="1" si="40"/>
        <v>42.169414551232656</v>
      </c>
      <c r="H100" s="307">
        <f t="shared" ca="1" si="41"/>
        <v>184.94161678627469</v>
      </c>
      <c r="I100" s="304">
        <f t="shared" ca="1" si="42"/>
        <v>189.68832632272074</v>
      </c>
      <c r="J100" s="306">
        <f t="shared" ca="1" si="43"/>
        <v>139.92832471726067</v>
      </c>
      <c r="K100" s="307">
        <f t="shared" ca="1" si="44"/>
        <v>674.18168220664199</v>
      </c>
      <c r="L100" s="304">
        <f t="shared" ca="1" si="29"/>
        <v>688.54983601853883</v>
      </c>
      <c r="M100" s="306">
        <f t="shared" ca="1" si="45"/>
        <v>1.3466142713946965</v>
      </c>
      <c r="N100" s="304">
        <f t="shared" ca="1" si="46"/>
        <v>77.15531438300053</v>
      </c>
      <c r="P100" s="310">
        <f t="shared" ca="1" si="47"/>
        <v>10</v>
      </c>
      <c r="Q100" s="304">
        <f t="shared" ca="1" si="48"/>
        <v>16.125000000004576</v>
      </c>
      <c r="R100" s="306">
        <f t="shared" ca="1" si="49"/>
        <v>8.5583403538356199E-3</v>
      </c>
      <c r="S100" s="307">
        <f t="shared" ca="1" si="50"/>
        <v>2.6797776748104454</v>
      </c>
      <c r="T100" s="304">
        <f t="shared" ca="1" si="30"/>
        <v>26.28861898989047</v>
      </c>
      <c r="U100" s="311">
        <f t="shared" ca="1" si="31"/>
        <v>0</v>
      </c>
      <c r="V100" s="306">
        <f t="shared" ca="1" si="32"/>
        <v>1.1451059008382489</v>
      </c>
      <c r="W100" s="304">
        <f t="shared" ca="1" si="33"/>
        <v>84.372269526630888</v>
      </c>
      <c r="Y100" s="314" t="str">
        <f t="shared" ca="1" si="51"/>
        <v/>
      </c>
      <c r="Z100" s="315" t="str">
        <f t="shared" ca="1" si="52"/>
        <v/>
      </c>
      <c r="AA100" s="316" t="str">
        <f t="shared" ca="1" si="53"/>
        <v/>
      </c>
      <c r="AC100" s="310" t="e">
        <f t="shared" ca="1" si="54"/>
        <v>#N/A</v>
      </c>
      <c r="AD100" s="323" t="e">
        <f t="shared" ca="1" si="55"/>
        <v>#N/A</v>
      </c>
      <c r="AE100" s="324">
        <f t="shared" ca="1" si="34"/>
        <v>674.18168220664199</v>
      </c>
      <c r="AG100" s="306">
        <f t="shared" ca="1" si="56"/>
        <v>-35.15494598292463</v>
      </c>
      <c r="AH100" s="304">
        <f t="shared" ca="1" si="57"/>
        <v>-25.590178234672415</v>
      </c>
    </row>
    <row r="101" spans="1:34" x14ac:dyDescent="0.2">
      <c r="A101" s="347">
        <f t="shared" ca="1" si="35"/>
        <v>0.01</v>
      </c>
      <c r="B101" s="304">
        <f t="shared" ca="1" si="36"/>
        <v>4.1699999999999795</v>
      </c>
      <c r="D101" s="306">
        <f t="shared" ca="1" si="37"/>
        <v>-5.8069978658921855</v>
      </c>
      <c r="E101" s="307">
        <f t="shared" ca="1" si="38"/>
        <v>-35.277642494485484</v>
      </c>
      <c r="F101" s="304">
        <f t="shared" ca="1" si="39"/>
        <v>35.752388510184943</v>
      </c>
      <c r="G101" s="306">
        <f t="shared" ca="1" si="40"/>
        <v>42.111344572573735</v>
      </c>
      <c r="H101" s="307">
        <f t="shared" ca="1" si="41"/>
        <v>184.58884036132983</v>
      </c>
      <c r="I101" s="304">
        <f t="shared" ca="1" si="42"/>
        <v>189.33146945938634</v>
      </c>
      <c r="J101" s="306">
        <f t="shared" ca="1" si="43"/>
        <v>140.34972851287969</v>
      </c>
      <c r="K101" s="307">
        <f t="shared" ca="1" si="44"/>
        <v>676.02933449238003</v>
      </c>
      <c r="L101" s="304">
        <f t="shared" ca="1" si="29"/>
        <v>690.44457227778196</v>
      </c>
      <c r="M101" s="306">
        <f t="shared" ca="1" si="45"/>
        <v>1.3464990844736437</v>
      </c>
      <c r="N101" s="304">
        <f t="shared" ca="1" si="46"/>
        <v>77.148714658569105</v>
      </c>
      <c r="P101" s="310">
        <f t="shared" ca="1" si="47"/>
        <v>11</v>
      </c>
      <c r="Q101" s="304">
        <f t="shared" ca="1" si="48"/>
        <v>14.375000000002567</v>
      </c>
      <c r="R101" s="306">
        <f t="shared" ca="1" si="49"/>
        <v>7.6295282224107972E-3</v>
      </c>
      <c r="S101" s="307">
        <f t="shared" ca="1" si="50"/>
        <v>2.6797013795282214</v>
      </c>
      <c r="T101" s="304">
        <f t="shared" ca="1" si="30"/>
        <v>26.287870533171855</v>
      </c>
      <c r="U101" s="311">
        <f t="shared" ca="1" si="31"/>
        <v>0</v>
      </c>
      <c r="V101" s="306">
        <f t="shared" ca="1" si="32"/>
        <v>1.14489410332557</v>
      </c>
      <c r="W101" s="304">
        <f t="shared" ca="1" si="33"/>
        <v>84.039565663931043</v>
      </c>
      <c r="Y101" s="314" t="str">
        <f t="shared" ca="1" si="51"/>
        <v/>
      </c>
      <c r="Z101" s="315" t="str">
        <f t="shared" ca="1" si="52"/>
        <v/>
      </c>
      <c r="AA101" s="316" t="str">
        <f t="shared" ca="1" si="53"/>
        <v/>
      </c>
      <c r="AC101" s="310" t="e">
        <f t="shared" ca="1" si="54"/>
        <v>#N/A</v>
      </c>
      <c r="AD101" s="323" t="e">
        <f t="shared" ca="1" si="55"/>
        <v>#N/A</v>
      </c>
      <c r="AE101" s="324">
        <f t="shared" ca="1" si="34"/>
        <v>676.02933449238003</v>
      </c>
      <c r="AG101" s="306">
        <f t="shared" ca="1" si="56"/>
        <v>-35.685811936190071</v>
      </c>
      <c r="AH101" s="304">
        <f t="shared" ca="1" si="57"/>
        <v>-26.121294731337482</v>
      </c>
    </row>
    <row r="102" spans="1:34" x14ac:dyDescent="0.2">
      <c r="A102" s="347">
        <f t="shared" ca="1" si="35"/>
        <v>0.01</v>
      </c>
      <c r="B102" s="304">
        <f t="shared" ca="1" si="36"/>
        <v>4.1799999999999793</v>
      </c>
      <c r="D102" s="306">
        <f t="shared" ca="1" si="37"/>
        <v>-5.886222033473989</v>
      </c>
      <c r="E102" s="307">
        <f t="shared" ca="1" si="38"/>
        <v>-35.611382271130516</v>
      </c>
      <c r="F102" s="304">
        <f t="shared" ca="1" si="39"/>
        <v>36.09457240483593</v>
      </c>
      <c r="G102" s="306">
        <f t="shared" ca="1" si="40"/>
        <v>42.052482352238997</v>
      </c>
      <c r="H102" s="307">
        <f t="shared" ca="1" si="41"/>
        <v>184.23272653861852</v>
      </c>
      <c r="I102" s="304">
        <f t="shared" ca="1" si="42"/>
        <v>188.97118510460467</v>
      </c>
      <c r="J102" s="306">
        <f t="shared" ca="1" si="43"/>
        <v>140.77054764750375</v>
      </c>
      <c r="K102" s="307">
        <f t="shared" ca="1" si="44"/>
        <v>677.87344232687974</v>
      </c>
      <c r="L102" s="304">
        <f t="shared" ca="1" si="29"/>
        <v>692.33572123433851</v>
      </c>
      <c r="M102" s="306">
        <f t="shared" ca="1" si="45"/>
        <v>1.346383619642634</v>
      </c>
      <c r="N102" s="304">
        <f t="shared" ca="1" si="46"/>
        <v>77.142099011070044</v>
      </c>
      <c r="P102" s="310">
        <f t="shared" ca="1" si="47"/>
        <v>11</v>
      </c>
      <c r="Q102" s="304">
        <f t="shared" ca="1" si="48"/>
        <v>13.125000000002595</v>
      </c>
      <c r="R102" s="306">
        <f t="shared" ca="1" si="49"/>
        <v>6.9660909856795574E-3</v>
      </c>
      <c r="S102" s="307">
        <f t="shared" ca="1" si="50"/>
        <v>2.6796317186183645</v>
      </c>
      <c r="T102" s="304">
        <f t="shared" ca="1" si="30"/>
        <v>26.287187159646155</v>
      </c>
      <c r="U102" s="311">
        <f t="shared" ca="1" si="31"/>
        <v>0</v>
      </c>
      <c r="V102" s="306">
        <f t="shared" ca="1" si="32"/>
        <v>1.1446827498566041</v>
      </c>
      <c r="W102" s="304">
        <f t="shared" ca="1" si="33"/>
        <v>83.70457216280326</v>
      </c>
      <c r="Y102" s="314" t="str">
        <f t="shared" ca="1" si="51"/>
        <v/>
      </c>
      <c r="Z102" s="315" t="str">
        <f t="shared" ca="1" si="52"/>
        <v/>
      </c>
      <c r="AA102" s="316" t="str">
        <f t="shared" ca="1" si="53"/>
        <v/>
      </c>
      <c r="AC102" s="310" t="e">
        <f t="shared" ca="1" si="54"/>
        <v>#N/A</v>
      </c>
      <c r="AD102" s="323" t="e">
        <f t="shared" ca="1" si="55"/>
        <v>#N/A</v>
      </c>
      <c r="AE102" s="324">
        <f t="shared" ca="1" si="34"/>
        <v>677.87344232687974</v>
      </c>
      <c r="AG102" s="306">
        <f t="shared" ca="1" si="56"/>
        <v>-36.028561447559845</v>
      </c>
      <c r="AH102" s="304">
        <f t="shared" ca="1" si="57"/>
        <v>-26.464295511658019</v>
      </c>
    </row>
    <row r="103" spans="1:34" x14ac:dyDescent="0.2">
      <c r="A103" s="347">
        <f t="shared" ca="1" si="35"/>
        <v>0.01</v>
      </c>
      <c r="B103" s="304">
        <f t="shared" ca="1" si="36"/>
        <v>4.1899999999999791</v>
      </c>
      <c r="D103" s="306">
        <f t="shared" ca="1" si="37"/>
        <v>-5.9653294730069248</v>
      </c>
      <c r="E103" s="307">
        <f t="shared" ca="1" si="38"/>
        <v>-35.94422209675411</v>
      </c>
      <c r="F103" s="304">
        <f t="shared" ca="1" si="39"/>
        <v>36.435864994018068</v>
      </c>
      <c r="G103" s="306">
        <f t="shared" ca="1" si="40"/>
        <v>41.992829057508928</v>
      </c>
      <c r="H103" s="307">
        <f t="shared" ca="1" si="41"/>
        <v>183.87328431765098</v>
      </c>
      <c r="I103" s="304">
        <f t="shared" ca="1" si="42"/>
        <v>188.60748229593884</v>
      </c>
      <c r="J103" s="306">
        <f t="shared" ca="1" si="43"/>
        <v>141.1907742045525</v>
      </c>
      <c r="K103" s="307">
        <f t="shared" ca="1" si="44"/>
        <v>679.71397238116106</v>
      </c>
      <c r="L103" s="304">
        <f t="shared" ca="1" si="29"/>
        <v>694.22324865324026</v>
      </c>
      <c r="M103" s="306">
        <f t="shared" ca="1" si="45"/>
        <v>1.3462678736027294</v>
      </c>
      <c r="N103" s="304">
        <f t="shared" ca="1" si="46"/>
        <v>77.135467251488166</v>
      </c>
      <c r="P103" s="310">
        <f t="shared" ca="1" si="47"/>
        <v>11</v>
      </c>
      <c r="Q103" s="304">
        <f t="shared" ca="1" si="48"/>
        <v>11.875000000002622</v>
      </c>
      <c r="R103" s="306">
        <f t="shared" ca="1" si="49"/>
        <v>6.3026537489483158E-3</v>
      </c>
      <c r="S103" s="307">
        <f t="shared" ca="1" si="50"/>
        <v>2.679568692080875</v>
      </c>
      <c r="T103" s="304">
        <f t="shared" ca="1" si="30"/>
        <v>26.286568869313385</v>
      </c>
      <c r="U103" s="311">
        <f t="shared" ca="1" si="31"/>
        <v>0</v>
      </c>
      <c r="V103" s="306">
        <f t="shared" ca="1" si="32"/>
        <v>1.1444718440227009</v>
      </c>
      <c r="W103" s="304">
        <f t="shared" ca="1" si="33"/>
        <v>83.367315617827558</v>
      </c>
      <c r="Y103" s="314" t="str">
        <f t="shared" ca="1" si="51"/>
        <v/>
      </c>
      <c r="Z103" s="315" t="str">
        <f t="shared" ca="1" si="52"/>
        <v/>
      </c>
      <c r="AA103" s="316" t="str">
        <f t="shared" ca="1" si="53"/>
        <v/>
      </c>
      <c r="AC103" s="310" t="e">
        <f t="shared" ca="1" si="54"/>
        <v>#N/A</v>
      </c>
      <c r="AD103" s="323" t="e">
        <f t="shared" ca="1" si="55"/>
        <v>#N/A</v>
      </c>
      <c r="AE103" s="324">
        <f t="shared" ca="1" si="34"/>
        <v>679.71397238116106</v>
      </c>
      <c r="AG103" s="306">
        <f t="shared" ca="1" si="56"/>
        <v>-36.370407206681108</v>
      </c>
      <c r="AH103" s="304">
        <f t="shared" ca="1" si="57"/>
        <v>-26.80639327332187</v>
      </c>
    </row>
    <row r="104" spans="1:34" x14ac:dyDescent="0.2">
      <c r="A104" s="347">
        <f t="shared" ca="1" si="35"/>
        <v>0.01</v>
      </c>
      <c r="B104" s="304">
        <f t="shared" ca="1" si="36"/>
        <v>4.1999999999999789</v>
      </c>
      <c r="D104" s="306">
        <f t="shared" ca="1" si="37"/>
        <v>-6.0443218711108528</v>
      </c>
      <c r="E104" s="307">
        <f t="shared" ca="1" si="38"/>
        <v>-36.276169078347202</v>
      </c>
      <c r="F104" s="304">
        <f t="shared" ca="1" si="39"/>
        <v>36.776273191861392</v>
      </c>
      <c r="G104" s="306">
        <f t="shared" ca="1" si="40"/>
        <v>41.932385838797821</v>
      </c>
      <c r="H104" s="307">
        <f t="shared" ca="1" si="41"/>
        <v>183.51052262686753</v>
      </c>
      <c r="I104" s="304">
        <f t="shared" ca="1" si="42"/>
        <v>188.24036999782982</v>
      </c>
      <c r="J104" s="306">
        <f t="shared" ca="1" si="43"/>
        <v>141.61040027903402</v>
      </c>
      <c r="K104" s="307">
        <f t="shared" ca="1" si="44"/>
        <v>681.5508914158836</v>
      </c>
      <c r="L104" s="304">
        <f t="shared" ca="1" si="29"/>
        <v>696.10712038950862</v>
      </c>
      <c r="M104" s="306">
        <f t="shared" ca="1" si="45"/>
        <v>1.3461518430244119</v>
      </c>
      <c r="N104" s="304">
        <f t="shared" ca="1" si="46"/>
        <v>77.128819189056117</v>
      </c>
      <c r="P104" s="310">
        <f t="shared" ca="1" si="47"/>
        <v>11</v>
      </c>
      <c r="Q104" s="304">
        <f t="shared" ca="1" si="48"/>
        <v>10.62500000000265</v>
      </c>
      <c r="R104" s="306">
        <f t="shared" ca="1" si="49"/>
        <v>5.6392165122170759E-3</v>
      </c>
      <c r="S104" s="307">
        <f t="shared" ca="1" si="50"/>
        <v>2.679512299915753</v>
      </c>
      <c r="T104" s="304">
        <f t="shared" ca="1" si="30"/>
        <v>26.28601566217354</v>
      </c>
      <c r="U104" s="311">
        <f t="shared" ca="1" si="31"/>
        <v>0</v>
      </c>
      <c r="V104" s="306">
        <f t="shared" ca="1" si="32"/>
        <v>1.1442613894027653</v>
      </c>
      <c r="W104" s="304">
        <f t="shared" ca="1" si="33"/>
        <v>83.027822632743408</v>
      </c>
      <c r="Y104" s="314" t="str">
        <f t="shared" ca="1" si="51"/>
        <v/>
      </c>
      <c r="Z104" s="315" t="str">
        <f t="shared" ca="1" si="52"/>
        <v/>
      </c>
      <c r="AA104" s="316" t="str">
        <f t="shared" ca="1" si="53"/>
        <v/>
      </c>
      <c r="AC104" s="310" t="e">
        <f t="shared" ca="1" si="54"/>
        <v>#N/A</v>
      </c>
      <c r="AD104" s="323" t="e">
        <f t="shared" ca="1" si="55"/>
        <v>#N/A</v>
      </c>
      <c r="AE104" s="324">
        <f t="shared" ca="1" si="34"/>
        <v>681.5508914158836</v>
      </c>
      <c r="AG104" s="306">
        <f t="shared" ca="1" si="56"/>
        <v>-36.711356525802714</v>
      </c>
      <c r="AH104" s="304">
        <f t="shared" ca="1" si="57"/>
        <v>-27.147595336700643</v>
      </c>
    </row>
    <row r="105" spans="1:34" x14ac:dyDescent="0.2">
      <c r="A105" s="347">
        <f t="shared" ca="1" si="35"/>
        <v>0.01</v>
      </c>
      <c r="B105" s="304">
        <f t="shared" ca="1" si="36"/>
        <v>4.2099999999999786</v>
      </c>
      <c r="D105" s="306">
        <f t="shared" ca="1" si="37"/>
        <v>-6.1232009252914299</v>
      </c>
      <c r="E105" s="307">
        <f t="shared" ca="1" si="38"/>
        <v>-36.607230338128659</v>
      </c>
      <c r="F105" s="304">
        <f t="shared" ca="1" si="39"/>
        <v>37.11580394657102</v>
      </c>
      <c r="G105" s="306">
        <f t="shared" ca="1" si="40"/>
        <v>41.871153829544909</v>
      </c>
      <c r="H105" s="307">
        <f t="shared" ca="1" si="41"/>
        <v>183.14445032348624</v>
      </c>
      <c r="I105" s="304">
        <f t="shared" ca="1" si="42"/>
        <v>187.86985710142363</v>
      </c>
      <c r="J105" s="306">
        <f t="shared" ca="1" si="43"/>
        <v>142.02941797737574</v>
      </c>
      <c r="K105" s="307">
        <f t="shared" ca="1" si="44"/>
        <v>683.38416628063533</v>
      </c>
      <c r="L105" s="304">
        <f t="shared" ca="1" si="29"/>
        <v>697.98730238742246</v>
      </c>
      <c r="M105" s="306">
        <f t="shared" ca="1" si="45"/>
        <v>1.3460355245469759</v>
      </c>
      <c r="N105" s="304">
        <f t="shared" ca="1" si="46"/>
        <v>77.122154631219644</v>
      </c>
      <c r="P105" s="310">
        <f t="shared" ca="1" si="47"/>
        <v>12</v>
      </c>
      <c r="Q105" s="304">
        <f t="shared" ca="1" si="48"/>
        <v>9.3750000000026787</v>
      </c>
      <c r="R105" s="306">
        <f t="shared" ca="1" si="49"/>
        <v>4.975779275485836E-3</v>
      </c>
      <c r="S105" s="307">
        <f t="shared" ca="1" si="50"/>
        <v>2.6794625421229981</v>
      </c>
      <c r="T105" s="304">
        <f t="shared" ca="1" si="30"/>
        <v>26.285527538226614</v>
      </c>
      <c r="U105" s="311">
        <f t="shared" ca="1" si="31"/>
        <v>0</v>
      </c>
      <c r="V105" s="306">
        <f t="shared" ca="1" si="32"/>
        <v>1.1440513895633631</v>
      </c>
      <c r="W105" s="304">
        <f t="shared" ca="1" si="33"/>
        <v>82.686119819500917</v>
      </c>
      <c r="Y105" s="314" t="str">
        <f t="shared" ca="1" si="51"/>
        <v/>
      </c>
      <c r="Z105" s="315" t="str">
        <f t="shared" ca="1" si="52"/>
        <v/>
      </c>
      <c r="AA105" s="316" t="str">
        <f t="shared" ca="1" si="53"/>
        <v/>
      </c>
      <c r="AC105" s="310" t="e">
        <f t="shared" ca="1" si="54"/>
        <v>#N/A</v>
      </c>
      <c r="AD105" s="323" t="e">
        <f t="shared" ca="1" si="55"/>
        <v>#N/A</v>
      </c>
      <c r="AE105" s="324">
        <f t="shared" ca="1" si="34"/>
        <v>683.38416628063533</v>
      </c>
      <c r="AG105" s="306">
        <f t="shared" ca="1" si="56"/>
        <v>-37.051416734467331</v>
      </c>
      <c r="AH105" s="304">
        <f t="shared" ca="1" si="57"/>
        <v>-27.487909039543414</v>
      </c>
    </row>
    <row r="106" spans="1:34" x14ac:dyDescent="0.2">
      <c r="A106" s="347">
        <f t="shared" ca="1" si="35"/>
        <v>0.01</v>
      </c>
      <c r="B106" s="304">
        <f t="shared" ca="1" si="36"/>
        <v>4.2199999999999784</v>
      </c>
      <c r="D106" s="306">
        <f t="shared" ca="1" si="37"/>
        <v>-6.201968343888618</v>
      </c>
      <c r="E106" s="307">
        <f t="shared" ca="1" si="38"/>
        <v>-36.937413013005305</v>
      </c>
      <c r="F106" s="304">
        <f t="shared" ca="1" si="39"/>
        <v>37.454464239018698</v>
      </c>
      <c r="G106" s="306">
        <f t="shared" ca="1" si="40"/>
        <v>41.809134146106025</v>
      </c>
      <c r="H106" s="307">
        <f t="shared" ca="1" si="41"/>
        <v>182.7750761933562</v>
      </c>
      <c r="I106" s="304">
        <f t="shared" ca="1" si="42"/>
        <v>187.4959524244037</v>
      </c>
      <c r="J106" s="306">
        <f t="shared" ca="1" si="43"/>
        <v>142.44781941725401</v>
      </c>
      <c r="K106" s="307">
        <f t="shared" ca="1" si="44"/>
        <v>685.21376391321951</v>
      </c>
      <c r="L106" s="304">
        <f t="shared" ca="1" si="29"/>
        <v>699.8637606797854</v>
      </c>
      <c r="M106" s="306">
        <f t="shared" ca="1" si="45"/>
        <v>1.3459189147779094</v>
      </c>
      <c r="N106" s="304">
        <f t="shared" ca="1" si="46"/>
        <v>77.115473383602136</v>
      </c>
      <c r="P106" s="310">
        <f t="shared" ca="1" si="47"/>
        <v>12</v>
      </c>
      <c r="Q106" s="304">
        <f t="shared" ca="1" si="48"/>
        <v>8.1250000000027072</v>
      </c>
      <c r="R106" s="306">
        <f t="shared" ca="1" si="49"/>
        <v>4.3123420387545953E-3</v>
      </c>
      <c r="S106" s="307">
        <f t="shared" ca="1" si="50"/>
        <v>2.6794194187026106</v>
      </c>
      <c r="T106" s="304">
        <f t="shared" ca="1" si="30"/>
        <v>26.285104497472609</v>
      </c>
      <c r="U106" s="311">
        <f t="shared" ca="1" si="31"/>
        <v>0</v>
      </c>
      <c r="V106" s="306">
        <f t="shared" ca="1" si="32"/>
        <v>1.1438418480588233</v>
      </c>
      <c r="W106" s="304">
        <f t="shared" ca="1" si="33"/>
        <v>82.342233797342772</v>
      </c>
      <c r="Y106" s="314" t="str">
        <f t="shared" ca="1" si="51"/>
        <v/>
      </c>
      <c r="Z106" s="315" t="str">
        <f t="shared" ca="1" si="52"/>
        <v/>
      </c>
      <c r="AA106" s="316" t="str">
        <f t="shared" ca="1" si="53"/>
        <v/>
      </c>
      <c r="AC106" s="310" t="e">
        <f t="shared" ca="1" si="54"/>
        <v>#N/A</v>
      </c>
      <c r="AD106" s="323" t="e">
        <f t="shared" ca="1" si="55"/>
        <v>#N/A</v>
      </c>
      <c r="AE106" s="324">
        <f t="shared" ca="1" si="34"/>
        <v>685.21376391321951</v>
      </c>
      <c r="AG106" s="306">
        <f t="shared" ca="1" si="56"/>
        <v>-37.39059517897585</v>
      </c>
      <c r="AH106" s="304">
        <f t="shared" ca="1" si="57"/>
        <v>-27.827341736442705</v>
      </c>
    </row>
    <row r="107" spans="1:34" x14ac:dyDescent="0.2">
      <c r="A107" s="347">
        <f t="shared" ca="1" si="35"/>
        <v>0.01</v>
      </c>
      <c r="B107" s="304">
        <f t="shared" ca="1" si="36"/>
        <v>4.2299999999999782</v>
      </c>
      <c r="D107" s="306">
        <f t="shared" ca="1" si="37"/>
        <v>-6.2806258460289</v>
      </c>
      <c r="E107" s="307">
        <f t="shared" ca="1" si="38"/>
        <v>-37.266724254042217</v>
      </c>
      <c r="F107" s="304">
        <f t="shared" ca="1" si="39"/>
        <v>37.792261081398991</v>
      </c>
      <c r="G107" s="306">
        <f t="shared" ca="1" si="40"/>
        <v>41.746327887645734</v>
      </c>
      <c r="H107" s="307">
        <f t="shared" ca="1" si="41"/>
        <v>182.40240895081578</v>
      </c>
      <c r="I107" s="304">
        <f t="shared" ca="1" si="42"/>
        <v>187.11866471082854</v>
      </c>
      <c r="J107" s="306">
        <f t="shared" ca="1" si="43"/>
        <v>142.86559672742277</v>
      </c>
      <c r="K107" s="307">
        <f t="shared" ca="1" si="44"/>
        <v>687.03965133894042</v>
      </c>
      <c r="L107" s="304">
        <f t="shared" ca="1" si="29"/>
        <v>701.73646138719016</v>
      </c>
      <c r="M107" s="306">
        <f t="shared" ca="1" si="45"/>
        <v>1.3458020102922652</v>
      </c>
      <c r="N107" s="304">
        <f t="shared" ca="1" si="46"/>
        <v>77.108775249968573</v>
      </c>
      <c r="P107" s="310">
        <f t="shared" ca="1" si="47"/>
        <v>12</v>
      </c>
      <c r="Q107" s="304">
        <f t="shared" ca="1" si="48"/>
        <v>6.8750000000027338</v>
      </c>
      <c r="R107" s="306">
        <f t="shared" ca="1" si="49"/>
        <v>3.6489048020233545E-3</v>
      </c>
      <c r="S107" s="307">
        <f t="shared" ca="1" si="50"/>
        <v>2.6793829296545901</v>
      </c>
      <c r="T107" s="304">
        <f t="shared" ca="1" si="30"/>
        <v>26.284746539911531</v>
      </c>
      <c r="U107" s="311">
        <f t="shared" ca="1" si="31"/>
        <v>0</v>
      </c>
      <c r="V107" s="306">
        <f t="shared" ca="1" si="32"/>
        <v>1.1436327684313472</v>
      </c>
      <c r="W107" s="304">
        <f t="shared" ca="1" si="33"/>
        <v>81.996191191916822</v>
      </c>
      <c r="Y107" s="314" t="str">
        <f t="shared" ca="1" si="51"/>
        <v/>
      </c>
      <c r="Z107" s="315" t="str">
        <f t="shared" ca="1" si="52"/>
        <v/>
      </c>
      <c r="AA107" s="316" t="str">
        <f t="shared" ca="1" si="53"/>
        <v/>
      </c>
      <c r="AC107" s="310" t="e">
        <f t="shared" ca="1" si="54"/>
        <v>#N/A</v>
      </c>
      <c r="AD107" s="323" t="e">
        <f t="shared" ca="1" si="55"/>
        <v>#N/A</v>
      </c>
      <c r="AE107" s="324">
        <f t="shared" ca="1" si="34"/>
        <v>687.03965133894042</v>
      </c>
      <c r="AG107" s="306">
        <f t="shared" ca="1" si="56"/>
        <v>-37.728899221862669</v>
      </c>
      <c r="AH107" s="304">
        <f t="shared" ca="1" si="57"/>
        <v>-28.165900798311359</v>
      </c>
    </row>
    <row r="108" spans="1:34" x14ac:dyDescent="0.2">
      <c r="A108" s="347">
        <f t="shared" ca="1" si="35"/>
        <v>0.01</v>
      </c>
      <c r="B108" s="304">
        <f t="shared" ca="1" si="36"/>
        <v>4.239999999999978</v>
      </c>
      <c r="D108" s="306">
        <f t="shared" ca="1" si="37"/>
        <v>-6.3591751615811498</v>
      </c>
      <c r="E108" s="307">
        <f t="shared" ca="1" si="38"/>
        <v>-37.595171225942977</v>
      </c>
      <c r="F108" s="304">
        <f t="shared" ca="1" si="39"/>
        <v>38.129201515946299</v>
      </c>
      <c r="G108" s="306">
        <f t="shared" ca="1" si="40"/>
        <v>41.682736136029924</v>
      </c>
      <c r="H108" s="307">
        <f t="shared" ca="1" si="41"/>
        <v>182.02645723855636</v>
      </c>
      <c r="I108" s="304">
        <f t="shared" ca="1" si="42"/>
        <v>186.73800263097462</v>
      </c>
      <c r="J108" s="306">
        <f t="shared" ca="1" si="43"/>
        <v>143.28274204754115</v>
      </c>
      <c r="K108" s="307">
        <f t="shared" ca="1" si="44"/>
        <v>688.86179566988733</v>
      </c>
      <c r="L108" s="304">
        <f t="shared" ca="1" si="29"/>
        <v>703.60537071728197</v>
      </c>
      <c r="M108" s="306">
        <f t="shared" ca="1" si="45"/>
        <v>1.3456848076320191</v>
      </c>
      <c r="N108" s="304">
        <f t="shared" ca="1" si="46"/>
        <v>77.102060032188774</v>
      </c>
      <c r="P108" s="310">
        <f t="shared" ca="1" si="47"/>
        <v>12</v>
      </c>
      <c r="Q108" s="304">
        <f t="shared" ca="1" si="48"/>
        <v>5.6250000000027613</v>
      </c>
      <c r="R108" s="306">
        <f t="shared" ca="1" si="49"/>
        <v>2.9854675652921138E-3</v>
      </c>
      <c r="S108" s="307">
        <f t="shared" ca="1" si="50"/>
        <v>2.6793530749789372</v>
      </c>
      <c r="T108" s="304">
        <f t="shared" ca="1" si="30"/>
        <v>26.284453665543374</v>
      </c>
      <c r="U108" s="311">
        <f t="shared" ca="1" si="31"/>
        <v>0</v>
      </c>
      <c r="V108" s="306">
        <f t="shared" ca="1" si="32"/>
        <v>1.1434241542111101</v>
      </c>
      <c r="W108" s="304">
        <f t="shared" ca="1" si="33"/>
        <v>81.648018634419088</v>
      </c>
      <c r="Y108" s="314" t="str">
        <f t="shared" ca="1" si="51"/>
        <v/>
      </c>
      <c r="Z108" s="315" t="str">
        <f t="shared" ca="1" si="52"/>
        <v/>
      </c>
      <c r="AA108" s="316" t="str">
        <f t="shared" ca="1" si="53"/>
        <v/>
      </c>
      <c r="AC108" s="310" t="e">
        <f t="shared" ca="1" si="54"/>
        <v>#N/A</v>
      </c>
      <c r="AD108" s="323" t="e">
        <f t="shared" ca="1" si="55"/>
        <v>#N/A</v>
      </c>
      <c r="AE108" s="324">
        <f t="shared" ca="1" si="34"/>
        <v>688.86179566988733</v>
      </c>
      <c r="AG108" s="306">
        <f t="shared" ca="1" si="56"/>
        <v>-38.066336241381535</v>
      </c>
      <c r="AH108" s="304">
        <f t="shared" ca="1" si="57"/>
        <v>-28.50359361187007</v>
      </c>
    </row>
    <row r="109" spans="1:34" x14ac:dyDescent="0.2">
      <c r="A109" s="347">
        <f t="shared" ca="1" si="35"/>
        <v>0.01</v>
      </c>
      <c r="B109" s="304">
        <f t="shared" ca="1" si="36"/>
        <v>4.2499999999999778</v>
      </c>
      <c r="D109" s="306">
        <f t="shared" ca="1" si="37"/>
        <v>-6.4376180311163482</v>
      </c>
      <c r="E109" s="307">
        <f t="shared" ca="1" si="38"/>
        <v>-37.922761106540172</v>
      </c>
      <c r="F109" s="304">
        <f t="shared" ca="1" si="39"/>
        <v>38.465292613709181</v>
      </c>
      <c r="G109" s="306">
        <f t="shared" ca="1" si="40"/>
        <v>41.618359955718759</v>
      </c>
      <c r="H109" s="307">
        <f t="shared" ca="1" si="41"/>
        <v>181.64722962749096</v>
      </c>
      <c r="I109" s="304">
        <f t="shared" ca="1" si="42"/>
        <v>186.35397478118412</v>
      </c>
      <c r="J109" s="306">
        <f t="shared" ca="1" si="43"/>
        <v>143.69924752799989</v>
      </c>
      <c r="K109" s="307">
        <f t="shared" ca="1" si="44"/>
        <v>690.68016410421751</v>
      </c>
      <c r="L109" s="304">
        <f t="shared" ca="1" si="29"/>
        <v>705.47045496402063</v>
      </c>
      <c r="M109" s="306">
        <f t="shared" ca="1" si="45"/>
        <v>1.3455673033054185</v>
      </c>
      <c r="N109" s="304">
        <f t="shared" ca="1" si="46"/>
        <v>77.095327530200024</v>
      </c>
      <c r="P109" s="310">
        <f t="shared" ca="1" si="47"/>
        <v>12</v>
      </c>
      <c r="Q109" s="304">
        <f t="shared" ca="1" si="48"/>
        <v>4.3750000000027898</v>
      </c>
      <c r="R109" s="306">
        <f t="shared" ca="1" si="49"/>
        <v>2.3220303285608739E-3</v>
      </c>
      <c r="S109" s="307">
        <f t="shared" ca="1" si="50"/>
        <v>2.6793298546756517</v>
      </c>
      <c r="T109" s="304">
        <f t="shared" ca="1" si="30"/>
        <v>26.284225874368143</v>
      </c>
      <c r="U109" s="311">
        <f t="shared" ca="1" si="31"/>
        <v>0</v>
      </c>
      <c r="V109" s="306">
        <f t="shared" ca="1" si="32"/>
        <v>1.1432160089163703</v>
      </c>
      <c r="W109" s="304">
        <f t="shared" ca="1" si="33"/>
        <v>81.297742760766809</v>
      </c>
      <c r="Y109" s="314" t="str">
        <f t="shared" ca="1" si="51"/>
        <v/>
      </c>
      <c r="Z109" s="315" t="str">
        <f t="shared" ca="1" si="52"/>
        <v/>
      </c>
      <c r="AA109" s="316" t="str">
        <f t="shared" ca="1" si="53"/>
        <v/>
      </c>
      <c r="AC109" s="310" t="e">
        <f t="shared" ca="1" si="54"/>
        <v>#N/A</v>
      </c>
      <c r="AD109" s="323" t="e">
        <f t="shared" ca="1" si="55"/>
        <v>#N/A</v>
      </c>
      <c r="AE109" s="324">
        <f t="shared" ca="1" si="34"/>
        <v>690.68016410421751</v>
      </c>
      <c r="AG109" s="306">
        <f t="shared" ca="1" si="56"/>
        <v>-38.402913631002278</v>
      </c>
      <c r="AH109" s="304">
        <f t="shared" ca="1" si="57"/>
        <v>-28.840427579145775</v>
      </c>
    </row>
    <row r="110" spans="1:34" x14ac:dyDescent="0.2">
      <c r="A110" s="347">
        <f t="shared" ca="1" si="35"/>
        <v>0.01</v>
      </c>
      <c r="B110" s="304">
        <f t="shared" ca="1" si="36"/>
        <v>4.2599999999999776</v>
      </c>
      <c r="D110" s="306">
        <f t="shared" ca="1" si="37"/>
        <v>-6.5159562058709204</v>
      </c>
      <c r="E110" s="307">
        <f t="shared" ca="1" si="38"/>
        <v>-38.24950108629573</v>
      </c>
      <c r="F110" s="304">
        <f t="shared" ca="1" si="39"/>
        <v>38.800541473378509</v>
      </c>
      <c r="G110" s="306">
        <f t="shared" ca="1" si="40"/>
        <v>41.553200393660049</v>
      </c>
      <c r="H110" s="307">
        <f t="shared" ca="1" si="41"/>
        <v>181.264734616628</v>
      </c>
      <c r="I110" s="304">
        <f t="shared" ca="1" si="42"/>
        <v>185.96658968371779</v>
      </c>
      <c r="J110" s="306">
        <f t="shared" ca="1" si="43"/>
        <v>144.11510532974677</v>
      </c>
      <c r="K110" s="307">
        <f t="shared" ca="1" si="44"/>
        <v>692.49472392543805</v>
      </c>
      <c r="L110" s="304">
        <f t="shared" ca="1" si="29"/>
        <v>707.33168050694053</v>
      </c>
      <c r="M110" s="306">
        <f t="shared" ca="1" si="45"/>
        <v>1.3454494937863148</v>
      </c>
      <c r="N110" s="304">
        <f t="shared" ca="1" si="46"/>
        <v>77.088577541968917</v>
      </c>
      <c r="P110" s="310">
        <f t="shared" ca="1" si="47"/>
        <v>12</v>
      </c>
      <c r="Q110" s="304">
        <f t="shared" ca="1" si="48"/>
        <v>3.1250000000028173</v>
      </c>
      <c r="R110" s="306">
        <f t="shared" ca="1" si="49"/>
        <v>1.6585930918296332E-3</v>
      </c>
      <c r="S110" s="307">
        <f t="shared" ca="1" si="50"/>
        <v>2.6793132687447332</v>
      </c>
      <c r="T110" s="304">
        <f t="shared" ca="1" si="30"/>
        <v>26.284063166385835</v>
      </c>
      <c r="U110" s="311">
        <f t="shared" ca="1" si="31"/>
        <v>0</v>
      </c>
      <c r="V110" s="306">
        <f t="shared" ca="1" si="32"/>
        <v>1.1430083360535721</v>
      </c>
      <c r="W110" s="304">
        <f t="shared" ca="1" si="33"/>
        <v>80.945390210801079</v>
      </c>
      <c r="Y110" s="314" t="str">
        <f t="shared" ca="1" si="51"/>
        <v/>
      </c>
      <c r="Z110" s="315" t="str">
        <f t="shared" ca="1" si="52"/>
        <v/>
      </c>
      <c r="AA110" s="316" t="str">
        <f t="shared" ca="1" si="53"/>
        <v/>
      </c>
      <c r="AC110" s="310" t="e">
        <f t="shared" ca="1" si="54"/>
        <v>#N/A</v>
      </c>
      <c r="AD110" s="323" t="e">
        <f t="shared" ca="1" si="55"/>
        <v>#N/A</v>
      </c>
      <c r="AE110" s="324">
        <f t="shared" ca="1" si="34"/>
        <v>692.49472392543805</v>
      </c>
      <c r="AG110" s="306">
        <f t="shared" ca="1" si="56"/>
        <v>-38.738638798917975</v>
      </c>
      <c r="AH110" s="304">
        <f t="shared" ca="1" si="57"/>
        <v>-29.176410116980527</v>
      </c>
    </row>
    <row r="111" spans="1:34" x14ac:dyDescent="0.2">
      <c r="A111" s="347">
        <f t="shared" ca="1" si="35"/>
        <v>0.01</v>
      </c>
      <c r="B111" s="304">
        <f t="shared" ca="1" si="36"/>
        <v>4.2699999999999774</v>
      </c>
      <c r="D111" s="306">
        <f t="shared" ca="1" si="37"/>
        <v>-6.594191447713988</v>
      </c>
      <c r="E111" s="307">
        <f t="shared" ca="1" si="38"/>
        <v>-38.575398367811054</v>
      </c>
      <c r="F111" s="304">
        <f t="shared" ca="1" si="39"/>
        <v>39.134955220166333</v>
      </c>
      <c r="G111" s="306">
        <f t="shared" ca="1" si="40"/>
        <v>41.487258479182906</v>
      </c>
      <c r="H111" s="307">
        <f t="shared" ca="1" si="41"/>
        <v>180.87898063294989</v>
      </c>
      <c r="I111" s="304">
        <f t="shared" ca="1" si="42"/>
        <v>185.57585578661249</v>
      </c>
      <c r="J111" s="306">
        <f t="shared" ca="1" si="43"/>
        <v>144.53030762411097</v>
      </c>
      <c r="K111" s="307">
        <f t="shared" ca="1" si="44"/>
        <v>694.30544250168589</v>
      </c>
      <c r="L111" s="304">
        <f t="shared" ca="1" si="29"/>
        <v>709.18901381041007</v>
      </c>
      <c r="M111" s="306">
        <f t="shared" ca="1" si="45"/>
        <v>1.3453313755134881</v>
      </c>
      <c r="N111" s="304">
        <f t="shared" ca="1" si="46"/>
        <v>77.081809863452577</v>
      </c>
      <c r="P111" s="310">
        <f t="shared" ca="1" si="47"/>
        <v>12</v>
      </c>
      <c r="Q111" s="304">
        <f t="shared" ca="1" si="48"/>
        <v>1.8750000000028457</v>
      </c>
      <c r="R111" s="306">
        <f t="shared" ca="1" si="49"/>
        <v>9.9515585509839309E-4</v>
      </c>
      <c r="S111" s="307">
        <f t="shared" ca="1" si="50"/>
        <v>2.6793033171861822</v>
      </c>
      <c r="T111" s="304">
        <f t="shared" ca="1" si="30"/>
        <v>26.283965541596448</v>
      </c>
      <c r="U111" s="311">
        <f t="shared" ca="1" si="31"/>
        <v>0</v>
      </c>
      <c r="V111" s="306">
        <f t="shared" ca="1" si="32"/>
        <v>1.1428011391174533</v>
      </c>
      <c r="W111" s="304">
        <f t="shared" ca="1" si="33"/>
        <v>80.590987627519453</v>
      </c>
      <c r="Y111" s="314" t="str">
        <f t="shared" ca="1" si="51"/>
        <v/>
      </c>
      <c r="Z111" s="315" t="str">
        <f t="shared" ca="1" si="52"/>
        <v/>
      </c>
      <c r="AA111" s="316" t="str">
        <f t="shared" ca="1" si="53"/>
        <v/>
      </c>
      <c r="AC111" s="310" t="e">
        <f t="shared" ca="1" si="54"/>
        <v>#N/A</v>
      </c>
      <c r="AD111" s="323" t="e">
        <f t="shared" ca="1" si="55"/>
        <v>#N/A</v>
      </c>
      <c r="AE111" s="324">
        <f t="shared" ca="1" si="34"/>
        <v>694.30544250168589</v>
      </c>
      <c r="AG111" s="306">
        <f t="shared" ca="1" si="56"/>
        <v>-39.073519167562594</v>
      </c>
      <c r="AH111" s="304">
        <f t="shared" ca="1" si="57"/>
        <v>-29.511548656550897</v>
      </c>
    </row>
    <row r="112" spans="1:34" x14ac:dyDescent="0.2">
      <c r="A112" s="347">
        <f t="shared" ca="1" si="35"/>
        <v>0.01</v>
      </c>
      <c r="B112" s="304">
        <f t="shared" ca="1" si="36"/>
        <v>4.2799999999999772</v>
      </c>
      <c r="D112" s="306">
        <f t="shared" ca="1" si="37"/>
        <v>-6.6723255291183348</v>
      </c>
      <c r="E112" s="307">
        <f t="shared" ca="1" si="38"/>
        <v>-38.900460165347177</v>
      </c>
      <c r="F112" s="304">
        <f t="shared" ca="1" si="39"/>
        <v>39.468541004732955</v>
      </c>
      <c r="G112" s="306">
        <f t="shared" ca="1" si="40"/>
        <v>41.420535223891726</v>
      </c>
      <c r="H112" s="307">
        <f t="shared" ca="1" si="41"/>
        <v>180.48997603129641</v>
      </c>
      <c r="I112" s="304">
        <f t="shared" ca="1" si="42"/>
        <v>185.18178146354356</v>
      </c>
      <c r="J112" s="306">
        <f t="shared" ca="1" si="43"/>
        <v>144.94484659262636</v>
      </c>
      <c r="K112" s="307">
        <f t="shared" ca="1" si="44"/>
        <v>696.11228728500714</v>
      </c>
      <c r="L112" s="304">
        <f t="shared" ca="1" si="29"/>
        <v>711.04242142288831</v>
      </c>
      <c r="M112" s="306">
        <f t="shared" ca="1" si="45"/>
        <v>1.3452129448899555</v>
      </c>
      <c r="N112" s="304">
        <f t="shared" ca="1" si="46"/>
        <v>77.07502428855905</v>
      </c>
      <c r="P112" s="310">
        <f t="shared" ca="1" si="47"/>
        <v>12</v>
      </c>
      <c r="Q112" s="304">
        <f t="shared" ca="1" si="48"/>
        <v>0.62500000000287237</v>
      </c>
      <c r="R112" s="306">
        <f t="shared" ca="1" si="49"/>
        <v>3.3171861836715213E-4</v>
      </c>
      <c r="S112" s="307">
        <f t="shared" ca="1" si="50"/>
        <v>2.6792999999999987</v>
      </c>
      <c r="T112" s="304">
        <f t="shared" ca="1" si="30"/>
        <v>26.283932999999987</v>
      </c>
      <c r="U112" s="311">
        <f t="shared" ca="1" si="31"/>
        <v>0</v>
      </c>
      <c r="V112" s="306">
        <f t="shared" ca="1" si="32"/>
        <v>1.1425944215911483</v>
      </c>
      <c r="W112" s="304">
        <f t="shared" ca="1" si="33"/>
        <v>80.23456165633732</v>
      </c>
      <c r="Y112" s="314" t="str">
        <f t="shared" ca="1" si="51"/>
        <v/>
      </c>
      <c r="Z112" s="315" t="str">
        <f t="shared" ca="1" si="52"/>
        <v/>
      </c>
      <c r="AA112" s="316" t="str">
        <f t="shared" ca="1" si="53"/>
        <v/>
      </c>
      <c r="AC112" s="310" t="e">
        <f t="shared" ca="1" si="54"/>
        <v>#N/A</v>
      </c>
      <c r="AD112" s="323" t="e">
        <f t="shared" ca="1" si="55"/>
        <v>#N/A</v>
      </c>
      <c r="AE112" s="324">
        <f t="shared" ca="1" si="34"/>
        <v>696.11228728500714</v>
      </c>
      <c r="AG112" s="306">
        <f t="shared" ca="1" si="56"/>
        <v>-39.407562173139247</v>
      </c>
      <c r="AH112" s="304">
        <f t="shared" ca="1" si="57"/>
        <v>-29.845850642898004</v>
      </c>
    </row>
    <row r="113" spans="1:34" x14ac:dyDescent="0.2">
      <c r="A113" s="347">
        <f t="shared" ca="1" si="35"/>
        <v>0.01</v>
      </c>
      <c r="B113" s="304">
        <f t="shared" ca="1" si="36"/>
        <v>4.2899999999999769</v>
      </c>
      <c r="D113" s="306">
        <f t="shared" ca="1" si="37"/>
        <v>-6.6981919490093871</v>
      </c>
      <c r="E113" s="307">
        <f t="shared" ca="1" si="38"/>
        <v>-38.997370414093297</v>
      </c>
      <c r="F113" s="304">
        <f t="shared" ca="1" si="39"/>
        <v>39.568430277176439</v>
      </c>
      <c r="G113" s="306">
        <f t="shared" ca="1" si="40"/>
        <v>41.353553304401629</v>
      </c>
      <c r="H113" s="307">
        <f t="shared" ca="1" si="41"/>
        <v>180.10000232715547</v>
      </c>
      <c r="I113" s="304">
        <f t="shared" ca="1" si="42"/>
        <v>184.78670733887054</v>
      </c>
      <c r="J113" s="306">
        <f t="shared" ca="1" si="43"/>
        <v>145.35871703526783</v>
      </c>
      <c r="K113" s="307">
        <f t="shared" ca="1" si="44"/>
        <v>697.91523717679945</v>
      </c>
      <c r="L113" s="304">
        <f t="shared" ca="1" si="29"/>
        <v>712.89188163541837</v>
      </c>
      <c r="M113" s="306">
        <f t="shared" ca="1" si="45"/>
        <v>1.345094199781053</v>
      </c>
      <c r="N113" s="304">
        <f t="shared" ca="1" si="46"/>
        <v>77.068220694981122</v>
      </c>
      <c r="P113" s="310">
        <f t="shared" ca="1" si="47"/>
        <v>13</v>
      </c>
      <c r="Q113" s="304">
        <f t="shared" ca="1" si="48"/>
        <v>0</v>
      </c>
      <c r="R113" s="306">
        <f t="shared" ca="1" si="49"/>
        <v>0</v>
      </c>
      <c r="S113" s="307">
        <f t="shared" ca="1" si="50"/>
        <v>2.6792999999999987</v>
      </c>
      <c r="T113" s="304">
        <f t="shared" ca="1" si="30"/>
        <v>26.283932999999987</v>
      </c>
      <c r="U113" s="311">
        <f t="shared" ca="1" si="31"/>
        <v>0</v>
      </c>
      <c r="V113" s="306">
        <f t="shared" ca="1" si="32"/>
        <v>1.1423881856462572</v>
      </c>
      <c r="W113" s="304">
        <f t="shared" ca="1" si="33"/>
        <v>79.878155239394786</v>
      </c>
      <c r="Y113" s="314" t="str">
        <f t="shared" ca="1" si="51"/>
        <v>Fin de propulsion</v>
      </c>
      <c r="Z113" s="315" t="str">
        <f t="shared" ca="1" si="52"/>
        <v/>
      </c>
      <c r="AA113" s="316" t="str">
        <f t="shared" ca="1" si="53"/>
        <v/>
      </c>
      <c r="AC113" s="310" t="e">
        <f t="shared" ca="1" si="54"/>
        <v>#N/A</v>
      </c>
      <c r="AD113" s="323" t="e">
        <f t="shared" ca="1" si="55"/>
        <v>#N/A</v>
      </c>
      <c r="AE113" s="324">
        <f t="shared" ca="1" si="34"/>
        <v>697.91523717679945</v>
      </c>
      <c r="AG113" s="306">
        <f t="shared" ca="1" si="56"/>
        <v>-39.50754274563409</v>
      </c>
      <c r="AH113" s="304">
        <f t="shared" ca="1" si="57"/>
        <v>-29.946091014943217</v>
      </c>
    </row>
    <row r="114" spans="1:34" x14ac:dyDescent="0.2">
      <c r="A114" s="347">
        <f t="shared" ca="1" si="35"/>
        <v>0.01</v>
      </c>
      <c r="B114" s="304">
        <f t="shared" ca="1" si="36"/>
        <v>4.2999999999999767</v>
      </c>
      <c r="D114" s="306">
        <f t="shared" ca="1" si="37"/>
        <v>-6.6718886201189447</v>
      </c>
      <c r="E114" s="307">
        <f t="shared" ca="1" si="38"/>
        <v>-38.866926430601211</v>
      </c>
      <c r="F114" s="304">
        <f t="shared" ca="1" si="39"/>
        <v>39.435416416224641</v>
      </c>
      <c r="G114" s="306">
        <f t="shared" ca="1" si="40"/>
        <v>41.286834418200442</v>
      </c>
      <c r="H114" s="307">
        <f t="shared" ca="1" si="41"/>
        <v>179.71133306284946</v>
      </c>
      <c r="I114" s="304">
        <f t="shared" ca="1" si="42"/>
        <v>184.39296604670773</v>
      </c>
      <c r="J114" s="306">
        <f t="shared" ca="1" si="43"/>
        <v>145.77191897388084</v>
      </c>
      <c r="K114" s="307">
        <f t="shared" ca="1" si="44"/>
        <v>699.7142938537495</v>
      </c>
      <c r="L114" s="304">
        <f t="shared" ca="1" si="29"/>
        <v>714.73739610053917</v>
      </c>
      <c r="M114" s="306">
        <f t="shared" ca="1" si="45"/>
        <v>1.3449751395383596</v>
      </c>
      <c r="N114" s="304">
        <f t="shared" ca="1" si="46"/>
        <v>77.061399045566986</v>
      </c>
      <c r="P114" s="310">
        <f t="shared" ca="1" si="47"/>
        <v>13</v>
      </c>
      <c r="Q114" s="304">
        <f t="shared" ca="1" si="48"/>
        <v>0</v>
      </c>
      <c r="R114" s="306">
        <f t="shared" ca="1" si="49"/>
        <v>0</v>
      </c>
      <c r="S114" s="307">
        <f t="shared" ca="1" si="50"/>
        <v>2.6792999999999987</v>
      </c>
      <c r="T114" s="304">
        <f t="shared" ca="1" si="30"/>
        <v>26.283932999999987</v>
      </c>
      <c r="U114" s="311">
        <f t="shared" ca="1" si="31"/>
        <v>0</v>
      </c>
      <c r="V114" s="306">
        <f t="shared" ca="1" si="32"/>
        <v>1.142182430848782</v>
      </c>
      <c r="W114" s="304">
        <f t="shared" ca="1" si="33"/>
        <v>79.523785525252563</v>
      </c>
      <c r="Y114" s="314" t="str">
        <f t="shared" ca="1" si="51"/>
        <v/>
      </c>
      <c r="Z114" s="315" t="str">
        <f t="shared" ca="1" si="52"/>
        <v/>
      </c>
      <c r="AA114" s="316" t="str">
        <f t="shared" ca="1" si="53"/>
        <v/>
      </c>
      <c r="AC114" s="310" t="e">
        <f t="shared" ca="1" si="54"/>
        <v>#N/A</v>
      </c>
      <c r="AD114" s="323" t="e">
        <f t="shared" ca="1" si="55"/>
        <v>#N/A</v>
      </c>
      <c r="AE114" s="324">
        <f t="shared" ca="1" si="34"/>
        <v>699.7142938537495</v>
      </c>
      <c r="AG114" s="306">
        <f t="shared" ca="1" si="56"/>
        <v>-39.374259907943497</v>
      </c>
      <c r="AH114" s="304">
        <f t="shared" ca="1" si="57"/>
        <v>-29.813068801326775</v>
      </c>
    </row>
    <row r="115" spans="1:34" x14ac:dyDescent="0.2">
      <c r="A115" s="347">
        <f t="shared" ca="1" si="35"/>
        <v>0.01</v>
      </c>
      <c r="B115" s="304">
        <f t="shared" ca="1" si="36"/>
        <v>4.3099999999999765</v>
      </c>
      <c r="D115" s="306">
        <f t="shared" ca="1" si="37"/>
        <v>-6.6457337281244406</v>
      </c>
      <c r="E115" s="307">
        <f t="shared" ca="1" si="38"/>
        <v>-38.737227875225422</v>
      </c>
      <c r="F115" s="304">
        <f t="shared" ca="1" si="39"/>
        <v>39.303162725692601</v>
      </c>
      <c r="G115" s="306">
        <f t="shared" ca="1" si="40"/>
        <v>41.220377080919199</v>
      </c>
      <c r="H115" s="307">
        <f t="shared" ca="1" si="41"/>
        <v>179.32396078409721</v>
      </c>
      <c r="I115" s="304">
        <f t="shared" ca="1" si="42"/>
        <v>184.00054999371497</v>
      </c>
      <c r="J115" s="306">
        <f t="shared" ca="1" si="43"/>
        <v>146.18445503137644</v>
      </c>
      <c r="K115" s="307">
        <f t="shared" ca="1" si="44"/>
        <v>701.50947032298427</v>
      </c>
      <c r="L115" s="304">
        <f t="shared" ca="1" si="29"/>
        <v>716.57897809359054</v>
      </c>
      <c r="M115" s="306">
        <f t="shared" ca="1" si="45"/>
        <v>1.3448557635108895</v>
      </c>
      <c r="N115" s="304">
        <f t="shared" ca="1" si="46"/>
        <v>77.054559303017911</v>
      </c>
      <c r="P115" s="310">
        <f t="shared" ca="1" si="47"/>
        <v>13</v>
      </c>
      <c r="Q115" s="304">
        <f t="shared" ca="1" si="48"/>
        <v>0</v>
      </c>
      <c r="R115" s="306">
        <f t="shared" ca="1" si="49"/>
        <v>0</v>
      </c>
      <c r="S115" s="307">
        <f t="shared" ca="1" si="50"/>
        <v>2.6792999999999987</v>
      </c>
      <c r="T115" s="304">
        <f t="shared" ca="1" si="30"/>
        <v>26.283932999999987</v>
      </c>
      <c r="U115" s="311">
        <f t="shared" ca="1" si="31"/>
        <v>0</v>
      </c>
      <c r="V115" s="306">
        <f t="shared" ca="1" si="32"/>
        <v>1.1419771554699825</v>
      </c>
      <c r="W115" s="304">
        <f t="shared" ca="1" si="33"/>
        <v>79.171437050816266</v>
      </c>
      <c r="Y115" s="314" t="str">
        <f t="shared" ca="1" si="51"/>
        <v/>
      </c>
      <c r="Z115" s="315" t="str">
        <f t="shared" ca="1" si="52"/>
        <v/>
      </c>
      <c r="AA115" s="316" t="str">
        <f t="shared" ca="1" si="53"/>
        <v/>
      </c>
      <c r="AC115" s="310" t="e">
        <f t="shared" ca="1" si="54"/>
        <v>#N/A</v>
      </c>
      <c r="AD115" s="323" t="e">
        <f t="shared" ca="1" si="55"/>
        <v>#N/A</v>
      </c>
      <c r="AE115" s="324">
        <f t="shared" ca="1" si="34"/>
        <v>701.50947032298427</v>
      </c>
      <c r="AG115" s="306">
        <f t="shared" ca="1" si="56"/>
        <v>-39.241736405518651</v>
      </c>
      <c r="AH115" s="304">
        <f t="shared" ca="1" si="57"/>
        <v>-29.680806749991639</v>
      </c>
    </row>
    <row r="116" spans="1:34" x14ac:dyDescent="0.2">
      <c r="A116" s="347">
        <f t="shared" ca="1" si="35"/>
        <v>0.01</v>
      </c>
      <c r="B116" s="304">
        <f t="shared" ca="1" si="36"/>
        <v>4.3199999999999763</v>
      </c>
      <c r="D116" s="306">
        <f t="shared" ca="1" si="37"/>
        <v>-6.619726142082536</v>
      </c>
      <c r="E116" s="307">
        <f t="shared" ca="1" si="38"/>
        <v>-38.608269088464155</v>
      </c>
      <c r="F116" s="304">
        <f t="shared" ca="1" si="39"/>
        <v>39.171663434215148</v>
      </c>
      <c r="G116" s="306">
        <f t="shared" ca="1" si="40"/>
        <v>41.154179819498374</v>
      </c>
      <c r="H116" s="307">
        <f t="shared" ca="1" si="41"/>
        <v>178.93787809321256</v>
      </c>
      <c r="I116" s="304">
        <f t="shared" ca="1" si="42"/>
        <v>183.60945164429037</v>
      </c>
      <c r="J116" s="306">
        <f t="shared" ca="1" si="43"/>
        <v>146.59632781587854</v>
      </c>
      <c r="K116" s="307">
        <f t="shared" ca="1" si="44"/>
        <v>703.30077951737087</v>
      </c>
      <c r="L116" s="304">
        <f t="shared" ca="1" si="29"/>
        <v>718.41664081425756</v>
      </c>
      <c r="M116" s="306">
        <f t="shared" ca="1" si="45"/>
        <v>1.3447360710450851</v>
      </c>
      <c r="N116" s="304">
        <f t="shared" ca="1" si="46"/>
        <v>77.047701429887795</v>
      </c>
      <c r="P116" s="310">
        <f t="shared" ca="1" si="47"/>
        <v>13</v>
      </c>
      <c r="Q116" s="304">
        <f t="shared" ca="1" si="48"/>
        <v>0</v>
      </c>
      <c r="R116" s="306">
        <f t="shared" ca="1" si="49"/>
        <v>0</v>
      </c>
      <c r="S116" s="307">
        <f t="shared" ca="1" si="50"/>
        <v>2.6792999999999987</v>
      </c>
      <c r="T116" s="304">
        <f t="shared" ca="1" si="30"/>
        <v>26.283932999999987</v>
      </c>
      <c r="U116" s="311">
        <f t="shared" ca="1" si="31"/>
        <v>0</v>
      </c>
      <c r="V116" s="306">
        <f t="shared" ca="1" si="32"/>
        <v>1.1417723577912617</v>
      </c>
      <c r="W116" s="304">
        <f t="shared" ca="1" si="33"/>
        <v>78.821094500486268</v>
      </c>
      <c r="Y116" s="314" t="str">
        <f t="shared" ca="1" si="51"/>
        <v/>
      </c>
      <c r="Z116" s="315" t="str">
        <f t="shared" ca="1" si="52"/>
        <v/>
      </c>
      <c r="AA116" s="316" t="str">
        <f t="shared" ca="1" si="53"/>
        <v/>
      </c>
      <c r="AC116" s="310" t="e">
        <f t="shared" ca="1" si="54"/>
        <v>#N/A</v>
      </c>
      <c r="AD116" s="323" t="e">
        <f t="shared" ca="1" si="55"/>
        <v>#N/A</v>
      </c>
      <c r="AE116" s="324">
        <f t="shared" ca="1" si="34"/>
        <v>703.30077951737087</v>
      </c>
      <c r="AG116" s="306">
        <f t="shared" ca="1" si="56"/>
        <v>-39.109966464537663</v>
      </c>
      <c r="AH116" s="304">
        <f t="shared" ca="1" si="57"/>
        <v>-29.549299089619044</v>
      </c>
    </row>
    <row r="117" spans="1:34" x14ac:dyDescent="0.2">
      <c r="A117" s="347">
        <f t="shared" ca="1" si="35"/>
        <v>0.01</v>
      </c>
      <c r="B117" s="304">
        <f t="shared" ca="1" si="36"/>
        <v>4.3299999999999761</v>
      </c>
      <c r="D117" s="306">
        <f t="shared" ca="1" si="37"/>
        <v>-6.5938647418335004</v>
      </c>
      <c r="E117" s="307">
        <f t="shared" ca="1" si="38"/>
        <v>-38.480044464798588</v>
      </c>
      <c r="F117" s="304">
        <f t="shared" ca="1" si="39"/>
        <v>39.040912825476703</v>
      </c>
      <c r="G117" s="306">
        <f t="shared" ca="1" si="40"/>
        <v>41.088241172080039</v>
      </c>
      <c r="H117" s="307">
        <f t="shared" ca="1" si="41"/>
        <v>178.55307764856457</v>
      </c>
      <c r="I117" s="304">
        <f t="shared" ca="1" si="42"/>
        <v>183.21966352001999</v>
      </c>
      <c r="J117" s="306">
        <f t="shared" ca="1" si="43"/>
        <v>147.00753992083642</v>
      </c>
      <c r="K117" s="307">
        <f t="shared" ca="1" si="44"/>
        <v>705.0882342960798</v>
      </c>
      <c r="L117" s="304">
        <f t="shared" ca="1" si="29"/>
        <v>720.25039738714474</v>
      </c>
      <c r="M117" s="306">
        <f t="shared" ca="1" si="45"/>
        <v>1.3446160614848051</v>
      </c>
      <c r="N117" s="304">
        <f t="shared" ca="1" si="46"/>
        <v>77.040825388582533</v>
      </c>
      <c r="P117" s="310">
        <f t="shared" ca="1" si="47"/>
        <v>13</v>
      </c>
      <c r="Q117" s="304">
        <f t="shared" ca="1" si="48"/>
        <v>0</v>
      </c>
      <c r="R117" s="306">
        <f t="shared" ca="1" si="49"/>
        <v>0</v>
      </c>
      <c r="S117" s="307">
        <f t="shared" ca="1" si="50"/>
        <v>2.6792999999999987</v>
      </c>
      <c r="T117" s="304">
        <f t="shared" ca="1" si="30"/>
        <v>26.283932999999987</v>
      </c>
      <c r="U117" s="311">
        <f t="shared" ca="1" si="31"/>
        <v>0</v>
      </c>
      <c r="V117" s="306">
        <f t="shared" ca="1" si="32"/>
        <v>1.1415680361040914</v>
      </c>
      <c r="W117" s="304">
        <f t="shared" ca="1" si="33"/>
        <v>78.472742704468317</v>
      </c>
      <c r="Y117" s="314" t="str">
        <f t="shared" ca="1" si="51"/>
        <v/>
      </c>
      <c r="Z117" s="315" t="str">
        <f t="shared" ca="1" si="52"/>
        <v/>
      </c>
      <c r="AA117" s="316" t="str">
        <f t="shared" ca="1" si="53"/>
        <v/>
      </c>
      <c r="AC117" s="310" t="e">
        <f t="shared" ca="1" si="54"/>
        <v>#N/A</v>
      </c>
      <c r="AD117" s="323" t="e">
        <f t="shared" ca="1" si="55"/>
        <v>#N/A</v>
      </c>
      <c r="AE117" s="324">
        <f t="shared" ca="1" si="34"/>
        <v>705.0882342960798</v>
      </c>
      <c r="AG117" s="306">
        <f t="shared" ca="1" si="56"/>
        <v>-38.978944366216943</v>
      </c>
      <c r="AH117" s="304">
        <f t="shared" ca="1" si="57"/>
        <v>-29.41854010393995</v>
      </c>
    </row>
    <row r="118" spans="1:34" x14ac:dyDescent="0.2">
      <c r="A118" s="347">
        <f t="shared" ca="1" si="35"/>
        <v>0.01</v>
      </c>
      <c r="B118" s="304">
        <f t="shared" ca="1" si="36"/>
        <v>4.3399999999999759</v>
      </c>
      <c r="D118" s="306">
        <f t="shared" ca="1" si="37"/>
        <v>-6.5681484178777287</v>
      </c>
      <c r="E118" s="307">
        <f t="shared" ca="1" si="38"/>
        <v>-38.352548452074537</v>
      </c>
      <c r="F118" s="304">
        <f t="shared" ca="1" si="39"/>
        <v>38.91090523758082</v>
      </c>
      <c r="G118" s="306">
        <f t="shared" ca="1" si="40"/>
        <v>41.022559687901264</v>
      </c>
      <c r="H118" s="307">
        <f t="shared" ca="1" si="41"/>
        <v>178.16955216404384</v>
      </c>
      <c r="I118" s="304">
        <f t="shared" ca="1" si="42"/>
        <v>182.83117819913363</v>
      </c>
      <c r="J118" s="306">
        <f t="shared" ca="1" si="43"/>
        <v>147.41809392513633</v>
      </c>
      <c r="K118" s="307">
        <f t="shared" ca="1" si="44"/>
        <v>706.87184744514286</v>
      </c>
      <c r="L118" s="304">
        <f t="shared" ca="1" si="29"/>
        <v>722.08026086234327</v>
      </c>
      <c r="M118" s="306">
        <f t="shared" ca="1" si="45"/>
        <v>1.344495734171316</v>
      </c>
      <c r="N118" s="304">
        <f t="shared" ca="1" si="46"/>
        <v>77.03393114135946</v>
      </c>
      <c r="P118" s="310">
        <f t="shared" ca="1" si="47"/>
        <v>13</v>
      </c>
      <c r="Q118" s="304">
        <f t="shared" ca="1" si="48"/>
        <v>0</v>
      </c>
      <c r="R118" s="306">
        <f t="shared" ca="1" si="49"/>
        <v>0</v>
      </c>
      <c r="S118" s="307">
        <f t="shared" ca="1" si="50"/>
        <v>2.6792999999999987</v>
      </c>
      <c r="T118" s="304">
        <f t="shared" ca="1" si="30"/>
        <v>26.283932999999987</v>
      </c>
      <c r="U118" s="311">
        <f t="shared" ca="1" si="31"/>
        <v>0</v>
      </c>
      <c r="V118" s="306">
        <f t="shared" ca="1" si="32"/>
        <v>1.1413641887099295</v>
      </c>
      <c r="W118" s="304">
        <f t="shared" ca="1" si="33"/>
        <v>78.126366637106031</v>
      </c>
      <c r="Y118" s="314" t="str">
        <f t="shared" ca="1" si="51"/>
        <v/>
      </c>
      <c r="Z118" s="315" t="str">
        <f t="shared" ca="1" si="52"/>
        <v/>
      </c>
      <c r="AA118" s="316" t="str">
        <f t="shared" ca="1" si="53"/>
        <v/>
      </c>
      <c r="AC118" s="310" t="e">
        <f t="shared" ca="1" si="54"/>
        <v>#N/A</v>
      </c>
      <c r="AD118" s="323" t="e">
        <f t="shared" ca="1" si="55"/>
        <v>#N/A</v>
      </c>
      <c r="AE118" s="324">
        <f t="shared" ca="1" si="34"/>
        <v>706.87184744514286</v>
      </c>
      <c r="AG118" s="306">
        <f t="shared" ca="1" si="56"/>
        <v>-38.848664446180614</v>
      </c>
      <c r="AH118" s="304">
        <f t="shared" ca="1" si="57"/>
        <v>-29.288524131104527</v>
      </c>
    </row>
    <row r="119" spans="1:34" x14ac:dyDescent="0.2">
      <c r="A119" s="347">
        <f t="shared" ca="1" si="35"/>
        <v>0.01</v>
      </c>
      <c r="B119" s="304">
        <f t="shared" ca="1" si="36"/>
        <v>4.3499999999999757</v>
      </c>
      <c r="D119" s="306">
        <f t="shared" ca="1" si="37"/>
        <v>-6.5425760712537953</v>
      </c>
      <c r="E119" s="307">
        <f t="shared" ca="1" si="38"/>
        <v>-38.225775550892131</v>
      </c>
      <c r="F119" s="304">
        <f t="shared" ca="1" si="39"/>
        <v>38.781635062427746</v>
      </c>
      <c r="G119" s="306">
        <f t="shared" ca="1" si="40"/>
        <v>40.957133927188728</v>
      </c>
      <c r="H119" s="307">
        <f t="shared" ca="1" si="41"/>
        <v>177.7872944085349</v>
      </c>
      <c r="I119" s="304">
        <f t="shared" ca="1" si="42"/>
        <v>182.44398831596712</v>
      </c>
      <c r="J119" s="306">
        <f t="shared" ca="1" si="43"/>
        <v>147.82799239321179</v>
      </c>
      <c r="K119" s="307">
        <f t="shared" ca="1" si="44"/>
        <v>708.65163167800574</v>
      </c>
      <c r="L119" s="304">
        <f t="shared" ca="1" si="29"/>
        <v>723.90624421599478</v>
      </c>
      <c r="M119" s="306">
        <f t="shared" ca="1" si="45"/>
        <v>1.3443750884432821</v>
      </c>
      <c r="N119" s="304">
        <f t="shared" ca="1" si="46"/>
        <v>77.027018650326838</v>
      </c>
      <c r="P119" s="310">
        <f t="shared" ca="1" si="47"/>
        <v>13</v>
      </c>
      <c r="Q119" s="304">
        <f t="shared" ca="1" si="48"/>
        <v>0</v>
      </c>
      <c r="R119" s="306">
        <f t="shared" ca="1" si="49"/>
        <v>0</v>
      </c>
      <c r="S119" s="307">
        <f t="shared" ca="1" si="50"/>
        <v>2.6792999999999987</v>
      </c>
      <c r="T119" s="304">
        <f t="shared" ca="1" si="30"/>
        <v>26.283932999999987</v>
      </c>
      <c r="U119" s="311">
        <f t="shared" ca="1" si="31"/>
        <v>0</v>
      </c>
      <c r="V119" s="306">
        <f t="shared" ca="1" si="32"/>
        <v>1.1411608139201466</v>
      </c>
      <c r="W119" s="304">
        <f t="shared" ca="1" si="33"/>
        <v>77.781951415236549</v>
      </c>
      <c r="Y119" s="314" t="str">
        <f t="shared" ca="1" si="51"/>
        <v/>
      </c>
      <c r="Z119" s="315" t="str">
        <f t="shared" ca="1" si="52"/>
        <v/>
      </c>
      <c r="AA119" s="316" t="str">
        <f t="shared" ca="1" si="53"/>
        <v/>
      </c>
      <c r="AC119" s="310" t="e">
        <f t="shared" ca="1" si="54"/>
        <v>#N/A</v>
      </c>
      <c r="AD119" s="323" t="e">
        <f t="shared" ca="1" si="55"/>
        <v>#N/A</v>
      </c>
      <c r="AE119" s="324">
        <f t="shared" ca="1" si="34"/>
        <v>708.65163167800574</v>
      </c>
      <c r="AG119" s="306">
        <f t="shared" ca="1" si="56"/>
        <v>-38.719121093838112</v>
      </c>
      <c r="AH119" s="304">
        <f t="shared" ca="1" si="57"/>
        <v>-29.15924556305978</v>
      </c>
    </row>
    <row r="120" spans="1:34" x14ac:dyDescent="0.2">
      <c r="A120" s="347">
        <f t="shared" ca="1" si="35"/>
        <v>0.01</v>
      </c>
      <c r="B120" s="304">
        <f t="shared" ca="1" si="36"/>
        <v>4.3599999999999755</v>
      </c>
      <c r="D120" s="306">
        <f t="shared" ca="1" si="37"/>
        <v>-6.5171466134182321</v>
      </c>
      <c r="E120" s="307">
        <f t="shared" ca="1" si="38"/>
        <v>-38.099720314003996</v>
      </c>
      <c r="F120" s="304">
        <f t="shared" ca="1" si="39"/>
        <v>38.65309674510074</v>
      </c>
      <c r="G120" s="306">
        <f t="shared" ca="1" si="40"/>
        <v>40.891962461054547</v>
      </c>
      <c r="H120" s="307">
        <f t="shared" ca="1" si="41"/>
        <v>177.40629720539488</v>
      </c>
      <c r="I120" s="304">
        <f t="shared" ca="1" si="42"/>
        <v>182.05808656043047</v>
      </c>
      <c r="J120" s="306">
        <f t="shared" ca="1" si="43"/>
        <v>148.237237875153</v>
      </c>
      <c r="K120" s="307">
        <f t="shared" ca="1" si="44"/>
        <v>710.42759963607534</v>
      </c>
      <c r="L120" s="304">
        <f t="shared" ca="1" si="29"/>
        <v>725.72836035084811</v>
      </c>
      <c r="M120" s="306">
        <f t="shared" ca="1" si="45"/>
        <v>1.344254123636756</v>
      </c>
      <c r="N120" s="304">
        <f t="shared" ca="1" si="46"/>
        <v>77.020087877443274</v>
      </c>
      <c r="P120" s="310">
        <f t="shared" ca="1" si="47"/>
        <v>13</v>
      </c>
      <c r="Q120" s="304">
        <f t="shared" ca="1" si="48"/>
        <v>0</v>
      </c>
      <c r="R120" s="306">
        <f t="shared" ca="1" si="49"/>
        <v>0</v>
      </c>
      <c r="S120" s="307">
        <f t="shared" ca="1" si="50"/>
        <v>2.6792999999999987</v>
      </c>
      <c r="T120" s="304">
        <f t="shared" ca="1" si="30"/>
        <v>26.283932999999987</v>
      </c>
      <c r="U120" s="311">
        <f t="shared" ca="1" si="31"/>
        <v>0</v>
      </c>
      <c r="V120" s="306">
        <f t="shared" ca="1" si="32"/>
        <v>1.1409579100559486</v>
      </c>
      <c r="W120" s="304">
        <f t="shared" ca="1" si="33"/>
        <v>77.439482296567249</v>
      </c>
      <c r="Y120" s="314" t="str">
        <f t="shared" ca="1" si="51"/>
        <v/>
      </c>
      <c r="Z120" s="315" t="str">
        <f t="shared" ca="1" si="52"/>
        <v/>
      </c>
      <c r="AA120" s="316" t="str">
        <f t="shared" ca="1" si="53"/>
        <v/>
      </c>
      <c r="AC120" s="310" t="e">
        <f t="shared" ca="1" si="54"/>
        <v>#N/A</v>
      </c>
      <c r="AD120" s="323" t="e">
        <f t="shared" ca="1" si="55"/>
        <v>#N/A</v>
      </c>
      <c r="AE120" s="324">
        <f t="shared" ca="1" si="34"/>
        <v>710.42759963607534</v>
      </c>
      <c r="AG120" s="306">
        <f t="shared" ca="1" si="56"/>
        <v>-38.590308751770394</v>
      </c>
      <c r="AH120" s="304">
        <f t="shared" ca="1" si="57"/>
        <v>-29.030698844935838</v>
      </c>
    </row>
    <row r="121" spans="1:34" x14ac:dyDescent="0.2">
      <c r="A121" s="347">
        <f t="shared" ca="1" si="35"/>
        <v>0.01</v>
      </c>
      <c r="B121" s="304">
        <f t="shared" ca="1" si="36"/>
        <v>4.3699999999999752</v>
      </c>
      <c r="D121" s="306">
        <f t="shared" ca="1" si="37"/>
        <v>-6.4918589661268316</v>
      </c>
      <c r="E121" s="307">
        <f t="shared" ca="1" si="38"/>
        <v>-37.974377345721138</v>
      </c>
      <c r="F121" s="304">
        <f t="shared" ca="1" si="39"/>
        <v>38.525284783260204</v>
      </c>
      <c r="G121" s="306">
        <f t="shared" ca="1" si="40"/>
        <v>40.827043871393279</v>
      </c>
      <c r="H121" s="307">
        <f t="shared" ca="1" si="41"/>
        <v>177.02655343193766</v>
      </c>
      <c r="I121" s="304">
        <f t="shared" ca="1" si="42"/>
        <v>181.67346567748231</v>
      </c>
      <c r="J121" s="306">
        <f t="shared" ca="1" si="43"/>
        <v>148.64583290681523</v>
      </c>
      <c r="K121" s="307">
        <f t="shared" ca="1" si="44"/>
        <v>712.19976388926204</v>
      </c>
      <c r="L121" s="304">
        <f t="shared" ca="1" si="29"/>
        <v>727.54662209681203</v>
      </c>
      <c r="M121" s="306">
        <f t="shared" ca="1" si="45"/>
        <v>1.3441328390851683</v>
      </c>
      <c r="N121" s="304">
        <f t="shared" ca="1" si="46"/>
        <v>77.013138784517167</v>
      </c>
      <c r="P121" s="310">
        <f t="shared" ca="1" si="47"/>
        <v>13</v>
      </c>
      <c r="Q121" s="304">
        <f t="shared" ca="1" si="48"/>
        <v>0</v>
      </c>
      <c r="R121" s="306">
        <f t="shared" ca="1" si="49"/>
        <v>0</v>
      </c>
      <c r="S121" s="307">
        <f t="shared" ca="1" si="50"/>
        <v>2.6792999999999987</v>
      </c>
      <c r="T121" s="304">
        <f t="shared" ca="1" si="30"/>
        <v>26.283932999999987</v>
      </c>
      <c r="U121" s="311">
        <f t="shared" ca="1" si="31"/>
        <v>0</v>
      </c>
      <c r="V121" s="306">
        <f t="shared" ca="1" si="32"/>
        <v>1.1407554754482998</v>
      </c>
      <c r="W121" s="304">
        <f t="shared" ca="1" si="33"/>
        <v>77.098944678074545</v>
      </c>
      <c r="Y121" s="314" t="str">
        <f t="shared" ca="1" si="51"/>
        <v/>
      </c>
      <c r="Z121" s="315" t="str">
        <f t="shared" ca="1" si="52"/>
        <v/>
      </c>
      <c r="AA121" s="316" t="str">
        <f t="shared" ca="1" si="53"/>
        <v/>
      </c>
      <c r="AC121" s="310" t="e">
        <f t="shared" ca="1" si="54"/>
        <v>#N/A</v>
      </c>
      <c r="AD121" s="323" t="e">
        <f t="shared" ca="1" si="55"/>
        <v>#N/A</v>
      </c>
      <c r="AE121" s="324">
        <f t="shared" ca="1" si="34"/>
        <v>712.19976388926204</v>
      </c>
      <c r="AG121" s="306">
        <f t="shared" ca="1" si="56"/>
        <v>-38.462221915124033</v>
      </c>
      <c r="AH121" s="304">
        <f t="shared" ca="1" si="57"/>
        <v>-28.902878474440072</v>
      </c>
    </row>
    <row r="122" spans="1:34" x14ac:dyDescent="0.2">
      <c r="A122" s="347">
        <f t="shared" ca="1" si="35"/>
        <v>0.01</v>
      </c>
      <c r="B122" s="304">
        <f t="shared" ca="1" si="36"/>
        <v>4.379999999999975</v>
      </c>
      <c r="D122" s="306">
        <f t="shared" ca="1" si="37"/>
        <v>-6.4667120613175717</v>
      </c>
      <c r="E122" s="307">
        <f t="shared" ca="1" si="38"/>
        <v>-37.849741301326894</v>
      </c>
      <c r="F122" s="304">
        <f t="shared" ca="1" si="39"/>
        <v>38.398193726546062</v>
      </c>
      <c r="G122" s="306">
        <f t="shared" ca="1" si="40"/>
        <v>40.762376750780106</v>
      </c>
      <c r="H122" s="307">
        <f t="shared" ca="1" si="41"/>
        <v>176.64805601892439</v>
      </c>
      <c r="I122" s="304">
        <f t="shared" ca="1" si="42"/>
        <v>181.29011846661029</v>
      </c>
      <c r="J122" s="306">
        <f t="shared" ca="1" si="43"/>
        <v>149.0537800099261</v>
      </c>
      <c r="K122" s="307">
        <f t="shared" ca="1" si="44"/>
        <v>713.96813693651632</v>
      </c>
      <c r="L122" s="304">
        <f t="shared" ca="1" si="29"/>
        <v>729.3610422115014</v>
      </c>
      <c r="M122" s="306">
        <f t="shared" ca="1" si="45"/>
        <v>1.344011234119318</v>
      </c>
      <c r="N122" s="304">
        <f t="shared" ca="1" si="46"/>
        <v>77.006171333206112</v>
      </c>
      <c r="P122" s="310">
        <f t="shared" ca="1" si="47"/>
        <v>13</v>
      </c>
      <c r="Q122" s="304">
        <f t="shared" ca="1" si="48"/>
        <v>0</v>
      </c>
      <c r="R122" s="306">
        <f t="shared" ca="1" si="49"/>
        <v>0</v>
      </c>
      <c r="S122" s="307">
        <f t="shared" ca="1" si="50"/>
        <v>2.6792999999999987</v>
      </c>
      <c r="T122" s="304">
        <f t="shared" ca="1" si="30"/>
        <v>26.283932999999987</v>
      </c>
      <c r="U122" s="311">
        <f t="shared" ca="1" si="31"/>
        <v>0</v>
      </c>
      <c r="V122" s="306">
        <f t="shared" ca="1" si="32"/>
        <v>1.1405535084378495</v>
      </c>
      <c r="W122" s="304">
        <f t="shared" ca="1" si="33"/>
        <v>76.760324094423908</v>
      </c>
      <c r="Y122" s="314" t="str">
        <f t="shared" ca="1" si="51"/>
        <v/>
      </c>
      <c r="Z122" s="315" t="str">
        <f t="shared" ca="1" si="52"/>
        <v/>
      </c>
      <c r="AA122" s="316" t="str">
        <f t="shared" ca="1" si="53"/>
        <v/>
      </c>
      <c r="AC122" s="310" t="e">
        <f t="shared" ca="1" si="54"/>
        <v>#N/A</v>
      </c>
      <c r="AD122" s="323" t="e">
        <f t="shared" ca="1" si="55"/>
        <v>#N/A</v>
      </c>
      <c r="AE122" s="324">
        <f t="shared" ca="1" si="34"/>
        <v>713.96813693651632</v>
      </c>
      <c r="AG122" s="306">
        <f t="shared" ca="1" si="56"/>
        <v>-38.334855131013526</v>
      </c>
      <c r="AH122" s="304">
        <f t="shared" ca="1" si="57"/>
        <v>-28.775779001259501</v>
      </c>
    </row>
    <row r="123" spans="1:34" x14ac:dyDescent="0.2">
      <c r="A123" s="347">
        <f t="shared" ca="1" si="35"/>
        <v>0.01</v>
      </c>
      <c r="B123" s="304">
        <f t="shared" ca="1" si="36"/>
        <v>4.3899999999999748</v>
      </c>
      <c r="D123" s="306">
        <f t="shared" ca="1" si="37"/>
        <v>-6.4417048409951034</v>
      </c>
      <c r="E123" s="307">
        <f t="shared" ca="1" si="38"/>
        <v>-37.725806886498653</v>
      </c>
      <c r="F123" s="304">
        <f t="shared" ca="1" si="39"/>
        <v>38.271818175988045</v>
      </c>
      <c r="G123" s="306">
        <f t="shared" ca="1" si="40"/>
        <v>40.697959702370156</v>
      </c>
      <c r="H123" s="307">
        <f t="shared" ca="1" si="41"/>
        <v>176.2707979500594</v>
      </c>
      <c r="I123" s="304">
        <f t="shared" ca="1" si="42"/>
        <v>180.90803778131698</v>
      </c>
      <c r="J123" s="306">
        <f t="shared" ca="1" si="43"/>
        <v>149.46108169219184</v>
      </c>
      <c r="K123" s="307">
        <f t="shared" ca="1" si="44"/>
        <v>715.73273120636122</v>
      </c>
      <c r="L123" s="304">
        <f t="shared" ca="1" si="29"/>
        <v>731.17163338077978</v>
      </c>
      <c r="M123" s="306">
        <f t="shared" ca="1" si="45"/>
        <v>1.3438893080673624</v>
      </c>
      <c r="N123" s="304">
        <f t="shared" ca="1" si="46"/>
        <v>76.999185485016355</v>
      </c>
      <c r="P123" s="310">
        <f t="shared" ca="1" si="47"/>
        <v>13</v>
      </c>
      <c r="Q123" s="304">
        <f t="shared" ca="1" si="48"/>
        <v>0</v>
      </c>
      <c r="R123" s="306">
        <f t="shared" ca="1" si="49"/>
        <v>0</v>
      </c>
      <c r="S123" s="307">
        <f t="shared" ca="1" si="50"/>
        <v>2.6792999999999987</v>
      </c>
      <c r="T123" s="304">
        <f t="shared" ca="1" si="30"/>
        <v>26.283932999999987</v>
      </c>
      <c r="U123" s="311">
        <f t="shared" ca="1" si="31"/>
        <v>0</v>
      </c>
      <c r="V123" s="306">
        <f t="shared" ca="1" si="32"/>
        <v>1.1403520073748574</v>
      </c>
      <c r="W123" s="304">
        <f t="shared" ca="1" si="33"/>
        <v>76.423606216410391</v>
      </c>
      <c r="Y123" s="314" t="str">
        <f t="shared" ca="1" si="51"/>
        <v/>
      </c>
      <c r="Z123" s="315" t="str">
        <f t="shared" ca="1" si="52"/>
        <v/>
      </c>
      <c r="AA123" s="316" t="str">
        <f t="shared" ca="1" si="53"/>
        <v/>
      </c>
      <c r="AC123" s="310" t="e">
        <f t="shared" ca="1" si="54"/>
        <v>#N/A</v>
      </c>
      <c r="AD123" s="323" t="e">
        <f t="shared" ca="1" si="55"/>
        <v>#N/A</v>
      </c>
      <c r="AE123" s="324">
        <f t="shared" ca="1" si="34"/>
        <v>715.73273120636122</v>
      </c>
      <c r="AG123" s="306">
        <f t="shared" ca="1" si="56"/>
        <v>-38.208202997931551</v>
      </c>
      <c r="AH123" s="304">
        <f t="shared" ca="1" si="57"/>
        <v>-28.649395026471073</v>
      </c>
    </row>
    <row r="124" spans="1:34" x14ac:dyDescent="0.2">
      <c r="A124" s="347">
        <f t="shared" ca="1" si="35"/>
        <v>0.01</v>
      </c>
      <c r="B124" s="304">
        <f t="shared" ca="1" si="36"/>
        <v>4.3999999999999746</v>
      </c>
      <c r="D124" s="306">
        <f t="shared" ca="1" si="37"/>
        <v>-6.4168362571167101</v>
      </c>
      <c r="E124" s="307">
        <f t="shared" ca="1" si="38"/>
        <v>-37.602568856737115</v>
      </c>
      <c r="F124" s="304">
        <f t="shared" ca="1" si="39"/>
        <v>38.146152783423695</v>
      </c>
      <c r="G124" s="306">
        <f t="shared" ca="1" si="40"/>
        <v>40.633791339798989</v>
      </c>
      <c r="H124" s="307">
        <f t="shared" ca="1" si="41"/>
        <v>175.89477226149202</v>
      </c>
      <c r="I124" s="304">
        <f t="shared" ca="1" si="42"/>
        <v>180.52721652861229</v>
      </c>
      <c r="J124" s="306">
        <f t="shared" ca="1" si="43"/>
        <v>149.8677404474027</v>
      </c>
      <c r="K124" s="307">
        <f t="shared" ca="1" si="44"/>
        <v>717.49355905741902</v>
      </c>
      <c r="L124" s="304">
        <f t="shared" ca="1" si="29"/>
        <v>732.97840821929537</v>
      </c>
      <c r="M124" s="306">
        <f t="shared" ca="1" si="45"/>
        <v>1.3437670602548077</v>
      </c>
      <c r="N124" s="304">
        <f t="shared" ca="1" si="46"/>
        <v>76.992181201302273</v>
      </c>
      <c r="P124" s="310">
        <f t="shared" ca="1" si="47"/>
        <v>13</v>
      </c>
      <c r="Q124" s="304">
        <f t="shared" ca="1" si="48"/>
        <v>0</v>
      </c>
      <c r="R124" s="306">
        <f t="shared" ca="1" si="49"/>
        <v>0</v>
      </c>
      <c r="S124" s="307">
        <f t="shared" ca="1" si="50"/>
        <v>2.6792999999999987</v>
      </c>
      <c r="T124" s="304">
        <f t="shared" ca="1" si="30"/>
        <v>26.283932999999987</v>
      </c>
      <c r="U124" s="311">
        <f t="shared" ca="1" si="31"/>
        <v>0</v>
      </c>
      <c r="V124" s="306">
        <f t="shared" ca="1" si="32"/>
        <v>1.1401509706191189</v>
      </c>
      <c r="W124" s="304">
        <f t="shared" ca="1" si="33"/>
        <v>76.088776849420228</v>
      </c>
      <c r="Y124" s="314" t="str">
        <f t="shared" ca="1" si="51"/>
        <v/>
      </c>
      <c r="Z124" s="315" t="str">
        <f t="shared" ca="1" si="52"/>
        <v/>
      </c>
      <c r="AA124" s="316" t="str">
        <f t="shared" ca="1" si="53"/>
        <v/>
      </c>
      <c r="AC124" s="310" t="e">
        <f t="shared" ca="1" si="54"/>
        <v>#N/A</v>
      </c>
      <c r="AD124" s="323" t="e">
        <f t="shared" ca="1" si="55"/>
        <v>#N/A</v>
      </c>
      <c r="AE124" s="324">
        <f t="shared" ca="1" si="34"/>
        <v>717.49355905741902</v>
      </c>
      <c r="AG124" s="306">
        <f t="shared" ca="1" si="56"/>
        <v>-38.082260165166851</v>
      </c>
      <c r="AH124" s="304">
        <f t="shared" ca="1" si="57"/>
        <v>-28.523721201959628</v>
      </c>
    </row>
    <row r="125" spans="1:34" x14ac:dyDescent="0.2">
      <c r="A125" s="347">
        <f t="shared" ca="1" si="35"/>
        <v>0.01</v>
      </c>
      <c r="B125" s="304">
        <f t="shared" ca="1" si="36"/>
        <v>4.4099999999999744</v>
      </c>
      <c r="D125" s="306">
        <f t="shared" ca="1" si="37"/>
        <v>-6.3921052714798181</v>
      </c>
      <c r="E125" s="307">
        <f t="shared" ca="1" si="38"/>
        <v>-37.48002201680319</v>
      </c>
      <c r="F125" s="304">
        <f t="shared" ca="1" si="39"/>
        <v>38.021192250924109</v>
      </c>
      <c r="G125" s="306">
        <f t="shared" ca="1" si="40"/>
        <v>40.569870287084193</v>
      </c>
      <c r="H125" s="307">
        <f t="shared" ca="1" si="41"/>
        <v>175.519972041324</v>
      </c>
      <c r="I125" s="304">
        <f t="shared" ca="1" si="42"/>
        <v>180.14764766851104</v>
      </c>
      <c r="J125" s="306">
        <f t="shared" ca="1" si="43"/>
        <v>150.2737587555371</v>
      </c>
      <c r="K125" s="307">
        <f t="shared" ca="1" si="44"/>
        <v>719.2506327789331</v>
      </c>
      <c r="L125" s="304">
        <f t="shared" ca="1" si="29"/>
        <v>734.78137927101352</v>
      </c>
      <c r="M125" s="306">
        <f t="shared" ca="1" si="45"/>
        <v>1.3436444900044984</v>
      </c>
      <c r="N125" s="304">
        <f t="shared" ca="1" si="46"/>
        <v>76.985158443265689</v>
      </c>
      <c r="P125" s="310">
        <f t="shared" ca="1" si="47"/>
        <v>13</v>
      </c>
      <c r="Q125" s="304">
        <f t="shared" ca="1" si="48"/>
        <v>0</v>
      </c>
      <c r="R125" s="306">
        <f t="shared" ca="1" si="49"/>
        <v>0</v>
      </c>
      <c r="S125" s="307">
        <f t="shared" ca="1" si="50"/>
        <v>2.6792999999999987</v>
      </c>
      <c r="T125" s="304">
        <f t="shared" ca="1" si="30"/>
        <v>26.283932999999987</v>
      </c>
      <c r="U125" s="311">
        <f t="shared" ca="1" si="31"/>
        <v>0</v>
      </c>
      <c r="V125" s="306">
        <f t="shared" ca="1" si="32"/>
        <v>1.1399503965398945</v>
      </c>
      <c r="W125" s="304">
        <f t="shared" ca="1" si="33"/>
        <v>75.755821931912649</v>
      </c>
      <c r="Y125" s="314" t="str">
        <f t="shared" ca="1" si="51"/>
        <v/>
      </c>
      <c r="Z125" s="315" t="str">
        <f t="shared" ca="1" si="52"/>
        <v/>
      </c>
      <c r="AA125" s="316" t="str">
        <f t="shared" ca="1" si="53"/>
        <v/>
      </c>
      <c r="AC125" s="310" t="e">
        <f t="shared" ca="1" si="54"/>
        <v>#N/A</v>
      </c>
      <c r="AD125" s="323" t="e">
        <f t="shared" ca="1" si="55"/>
        <v>#N/A</v>
      </c>
      <c r="AE125" s="324">
        <f t="shared" ca="1" si="34"/>
        <v>719.2506327789331</v>
      </c>
      <c r="AG125" s="306">
        <f t="shared" ca="1" si="56"/>
        <v>-37.957021332230021</v>
      </c>
      <c r="AH125" s="304">
        <f t="shared" ca="1" si="57"/>
        <v>-28.398752229843716</v>
      </c>
    </row>
    <row r="126" spans="1:34" x14ac:dyDescent="0.2">
      <c r="A126" s="347">
        <f t="shared" ca="1" si="35"/>
        <v>0.01</v>
      </c>
      <c r="B126" s="304">
        <f t="shared" ca="1" si="36"/>
        <v>4.4199999999999742</v>
      </c>
      <c r="D126" s="306">
        <f t="shared" ca="1" si="37"/>
        <v>-6.3675108556110125</v>
      </c>
      <c r="E126" s="307">
        <f t="shared" ca="1" si="38"/>
        <v>-37.358161220162401</v>
      </c>
      <c r="F126" s="304">
        <f t="shared" ca="1" si="39"/>
        <v>37.896931330227382</v>
      </c>
      <c r="G126" s="306">
        <f t="shared" ca="1" si="40"/>
        <v>40.506195178528081</v>
      </c>
      <c r="H126" s="307">
        <f t="shared" ca="1" si="41"/>
        <v>175.14639042912236</v>
      </c>
      <c r="I126" s="304">
        <f t="shared" ca="1" si="42"/>
        <v>179.76932421353644</v>
      </c>
      <c r="J126" s="306">
        <f t="shared" ca="1" si="43"/>
        <v>150.67913908286516</v>
      </c>
      <c r="K126" s="307">
        <f t="shared" ca="1" si="44"/>
        <v>721.00396459128535</v>
      </c>
      <c r="L126" s="304">
        <f t="shared" ca="1" si="29"/>
        <v>736.58055900974261</v>
      </c>
      <c r="M126" s="306">
        <f t="shared" ca="1" si="45"/>
        <v>1.343521596636607</v>
      </c>
      <c r="N126" s="304">
        <f t="shared" ca="1" si="46"/>
        <v>76.978117171955361</v>
      </c>
      <c r="P126" s="310">
        <f t="shared" ca="1" si="47"/>
        <v>13</v>
      </c>
      <c r="Q126" s="304">
        <f t="shared" ca="1" si="48"/>
        <v>0</v>
      </c>
      <c r="R126" s="306">
        <f t="shared" ca="1" si="49"/>
        <v>0</v>
      </c>
      <c r="S126" s="307">
        <f t="shared" ca="1" si="50"/>
        <v>2.6792999999999987</v>
      </c>
      <c r="T126" s="304">
        <f t="shared" ca="1" si="30"/>
        <v>26.283932999999987</v>
      </c>
      <c r="U126" s="311">
        <f t="shared" ca="1" si="31"/>
        <v>0</v>
      </c>
      <c r="V126" s="306">
        <f t="shared" ca="1" si="32"/>
        <v>1.139750283515836</v>
      </c>
      <c r="W126" s="304">
        <f t="shared" ca="1" si="33"/>
        <v>75.424727533921455</v>
      </c>
      <c r="Y126" s="314" t="str">
        <f t="shared" ca="1" si="51"/>
        <v/>
      </c>
      <c r="Z126" s="315" t="str">
        <f t="shared" ca="1" si="52"/>
        <v/>
      </c>
      <c r="AA126" s="316" t="str">
        <f t="shared" ca="1" si="53"/>
        <v/>
      </c>
      <c r="AC126" s="310" t="e">
        <f t="shared" ca="1" si="54"/>
        <v>#N/A</v>
      </c>
      <c r="AD126" s="323" t="e">
        <f t="shared" ca="1" si="55"/>
        <v>#N/A</v>
      </c>
      <c r="AE126" s="324">
        <f t="shared" ca="1" si="34"/>
        <v>721.00396459128535</v>
      </c>
      <c r="AG126" s="306">
        <f t="shared" ca="1" si="56"/>
        <v>-37.832481248286783</v>
      </c>
      <c r="AH126" s="304">
        <f t="shared" ca="1" si="57"/>
        <v>-28.274482861908965</v>
      </c>
    </row>
    <row r="127" spans="1:34" x14ac:dyDescent="0.2">
      <c r="A127" s="347">
        <f t="shared" ca="1" si="35"/>
        <v>0.01</v>
      </c>
      <c r="B127" s="304">
        <f t="shared" ca="1" si="36"/>
        <v>4.429999999999974</v>
      </c>
      <c r="D127" s="306">
        <f t="shared" ca="1" si="37"/>
        <v>-6.3430519906564617</v>
      </c>
      <c r="E127" s="307">
        <f t="shared" ca="1" si="38"/>
        <v>-37.23698136843641</v>
      </c>
      <c r="F127" s="304">
        <f t="shared" ca="1" si="39"/>
        <v>37.773364822179282</v>
      </c>
      <c r="G127" s="306">
        <f t="shared" ca="1" si="40"/>
        <v>40.442764658621513</v>
      </c>
      <c r="H127" s="307">
        <f t="shared" ca="1" si="41"/>
        <v>174.77402061543799</v>
      </c>
      <c r="I127" s="304">
        <f t="shared" ca="1" si="42"/>
        <v>179.39223922822913</v>
      </c>
      <c r="J127" s="306">
        <f t="shared" ca="1" si="43"/>
        <v>151.08388388205091</v>
      </c>
      <c r="K127" s="307">
        <f t="shared" ca="1" si="44"/>
        <v>722.75356664650815</v>
      </c>
      <c r="L127" s="304">
        <f t="shared" ca="1" si="29"/>
        <v>738.37595983965616</v>
      </c>
      <c r="M127" s="306">
        <f t="shared" ca="1" si="45"/>
        <v>1.3433983794686244</v>
      </c>
      <c r="N127" s="304">
        <f t="shared" ca="1" si="46"/>
        <v>76.971057348266399</v>
      </c>
      <c r="P127" s="310">
        <f t="shared" ca="1" si="47"/>
        <v>13</v>
      </c>
      <c r="Q127" s="304">
        <f t="shared" ca="1" si="48"/>
        <v>0</v>
      </c>
      <c r="R127" s="306">
        <f t="shared" ca="1" si="49"/>
        <v>0</v>
      </c>
      <c r="S127" s="307">
        <f t="shared" ca="1" si="50"/>
        <v>2.6792999999999987</v>
      </c>
      <c r="T127" s="304">
        <f t="shared" ca="1" si="30"/>
        <v>26.283932999999987</v>
      </c>
      <c r="U127" s="311">
        <f t="shared" ca="1" si="31"/>
        <v>0</v>
      </c>
      <c r="V127" s="306">
        <f t="shared" ca="1" si="32"/>
        <v>1.1395506299349147</v>
      </c>
      <c r="W127" s="304">
        <f t="shared" ca="1" si="33"/>
        <v>75.095479855576357</v>
      </c>
      <c r="Y127" s="314" t="str">
        <f t="shared" ca="1" si="51"/>
        <v/>
      </c>
      <c r="Z127" s="315" t="str">
        <f t="shared" ca="1" si="52"/>
        <v/>
      </c>
      <c r="AA127" s="316" t="str">
        <f t="shared" ca="1" si="53"/>
        <v/>
      </c>
      <c r="AC127" s="310" t="e">
        <f t="shared" ca="1" si="54"/>
        <v>#N/A</v>
      </c>
      <c r="AD127" s="323" t="e">
        <f t="shared" ca="1" si="55"/>
        <v>#N/A</v>
      </c>
      <c r="AE127" s="324">
        <f t="shared" ca="1" si="34"/>
        <v>722.75356664650815</v>
      </c>
      <c r="AG127" s="306">
        <f t="shared" ca="1" si="56"/>
        <v>-37.708634711598698</v>
      </c>
      <c r="AH127" s="304">
        <f t="shared" ca="1" si="57"/>
        <v>-28.150907899048814</v>
      </c>
    </row>
    <row r="128" spans="1:34" x14ac:dyDescent="0.2">
      <c r="A128" s="347">
        <f t="shared" ca="1" si="35"/>
        <v>0.01</v>
      </c>
      <c r="B128" s="304">
        <f t="shared" ca="1" si="36"/>
        <v>4.4399999999999737</v>
      </c>
      <c r="D128" s="306">
        <f t="shared" ca="1" si="37"/>
        <v>-6.3187276672738077</v>
      </c>
      <c r="E128" s="307">
        <f t="shared" ca="1" si="38"/>
        <v>-37.116477410861862</v>
      </c>
      <c r="F128" s="304">
        <f t="shared" ca="1" si="39"/>
        <v>37.650487576181405</v>
      </c>
      <c r="G128" s="306">
        <f t="shared" ca="1" si="40"/>
        <v>40.379577381948778</v>
      </c>
      <c r="H128" s="307">
        <f t="shared" ca="1" si="41"/>
        <v>174.40285584132937</v>
      </c>
      <c r="I128" s="304">
        <f t="shared" ca="1" si="42"/>
        <v>179.01638582866178</v>
      </c>
      <c r="J128" s="306">
        <f t="shared" ca="1" si="43"/>
        <v>151.48799559225375</v>
      </c>
      <c r="K128" s="307">
        <f t="shared" ca="1" si="44"/>
        <v>724.49945102879201</v>
      </c>
      <c r="L128" s="304">
        <f t="shared" ca="1" si="29"/>
        <v>740.16759409581005</v>
      </c>
      <c r="M128" s="306">
        <f t="shared" ca="1" si="45"/>
        <v>1.3432748378153496</v>
      </c>
      <c r="N128" s="304">
        <f t="shared" ca="1" si="46"/>
        <v>76.963978932939682</v>
      </c>
      <c r="P128" s="310">
        <f t="shared" ca="1" si="47"/>
        <v>13</v>
      </c>
      <c r="Q128" s="304">
        <f t="shared" ca="1" si="48"/>
        <v>0</v>
      </c>
      <c r="R128" s="306">
        <f t="shared" ca="1" si="49"/>
        <v>0</v>
      </c>
      <c r="S128" s="307">
        <f t="shared" ca="1" si="50"/>
        <v>2.6792999999999987</v>
      </c>
      <c r="T128" s="304">
        <f t="shared" ca="1" si="30"/>
        <v>26.283932999999987</v>
      </c>
      <c r="U128" s="311">
        <f t="shared" ca="1" si="31"/>
        <v>0</v>
      </c>
      <c r="V128" s="306">
        <f t="shared" ca="1" si="32"/>
        <v>1.1393514341943529</v>
      </c>
      <c r="W128" s="304">
        <f t="shared" ca="1" si="33"/>
        <v>74.768065225644008</v>
      </c>
      <c r="Y128" s="314" t="str">
        <f t="shared" ca="1" si="51"/>
        <v/>
      </c>
      <c r="Z128" s="315" t="str">
        <f t="shared" ca="1" si="52"/>
        <v/>
      </c>
      <c r="AA128" s="316" t="str">
        <f t="shared" ca="1" si="53"/>
        <v/>
      </c>
      <c r="AC128" s="310" t="e">
        <f t="shared" ca="1" si="54"/>
        <v>#N/A</v>
      </c>
      <c r="AD128" s="323" t="e">
        <f t="shared" ca="1" si="55"/>
        <v>#N/A</v>
      </c>
      <c r="AE128" s="324">
        <f t="shared" ca="1" si="34"/>
        <v>724.49945102879201</v>
      </c>
      <c r="AG128" s="306">
        <f t="shared" ca="1" si="56"/>
        <v>-37.585476568971217</v>
      </c>
      <c r="AH128" s="304">
        <f t="shared" ca="1" si="57"/>
        <v>-28.028022190712647</v>
      </c>
    </row>
    <row r="129" spans="1:34" x14ac:dyDescent="0.2">
      <c r="A129" s="347">
        <f t="shared" ca="1" si="35"/>
        <v>0.01</v>
      </c>
      <c r="B129" s="304">
        <f t="shared" ca="1" si="36"/>
        <v>4.4499999999999735</v>
      </c>
      <c r="D129" s="306">
        <f t="shared" ca="1" si="37"/>
        <v>-6.2945368855254777</v>
      </c>
      <c r="E129" s="307">
        <f t="shared" ca="1" si="38"/>
        <v>-36.996644343756373</v>
      </c>
      <c r="F129" s="304">
        <f t="shared" ca="1" si="39"/>
        <v>37.528294489646626</v>
      </c>
      <c r="G129" s="306">
        <f t="shared" ca="1" si="40"/>
        <v>40.316632013093525</v>
      </c>
      <c r="H129" s="307">
        <f t="shared" ca="1" si="41"/>
        <v>174.03288939789181</v>
      </c>
      <c r="I129" s="304">
        <f t="shared" ca="1" si="42"/>
        <v>178.64175718195912</v>
      </c>
      <c r="J129" s="306">
        <f t="shared" ca="1" si="43"/>
        <v>151.89147663922896</v>
      </c>
      <c r="K129" s="307">
        <f t="shared" ca="1" si="44"/>
        <v>726.24162975498814</v>
      </c>
      <c r="L129" s="304">
        <f t="shared" ca="1" si="29"/>
        <v>741.95547404465367</v>
      </c>
      <c r="M129" s="306">
        <f t="shared" ca="1" si="45"/>
        <v>1.3431509709888791</v>
      </c>
      <c r="N129" s="304">
        <f t="shared" ca="1" si="46"/>
        <v>76.956881886561249</v>
      </c>
      <c r="P129" s="310">
        <f t="shared" ca="1" si="47"/>
        <v>13</v>
      </c>
      <c r="Q129" s="304">
        <f t="shared" ca="1" si="48"/>
        <v>0</v>
      </c>
      <c r="R129" s="306">
        <f t="shared" ca="1" si="49"/>
        <v>0</v>
      </c>
      <c r="S129" s="307">
        <f t="shared" ca="1" si="50"/>
        <v>2.6792999999999987</v>
      </c>
      <c r="T129" s="304">
        <f t="shared" ca="1" si="30"/>
        <v>26.283932999999987</v>
      </c>
      <c r="U129" s="311">
        <f t="shared" ca="1" si="31"/>
        <v>0</v>
      </c>
      <c r="V129" s="306">
        <f t="shared" ca="1" si="32"/>
        <v>1.139152694700551</v>
      </c>
      <c r="W129" s="304">
        <f t="shared" ca="1" si="33"/>
        <v>74.442470100087647</v>
      </c>
      <c r="Y129" s="314" t="str">
        <f t="shared" ca="1" si="51"/>
        <v/>
      </c>
      <c r="Z129" s="315" t="str">
        <f t="shared" ca="1" si="52"/>
        <v/>
      </c>
      <c r="AA129" s="316" t="str">
        <f t="shared" ca="1" si="53"/>
        <v/>
      </c>
      <c r="AC129" s="310" t="e">
        <f t="shared" ca="1" si="54"/>
        <v>#N/A</v>
      </c>
      <c r="AD129" s="323" t="e">
        <f t="shared" ca="1" si="55"/>
        <v>#N/A</v>
      </c>
      <c r="AE129" s="324">
        <f t="shared" ca="1" si="34"/>
        <v>726.24162975498814</v>
      </c>
      <c r="AG129" s="306">
        <f t="shared" ca="1" si="56"/>
        <v>-37.463001715209053</v>
      </c>
      <c r="AH129" s="304">
        <f t="shared" ca="1" si="57"/>
        <v>-27.905820634361231</v>
      </c>
    </row>
    <row r="130" spans="1:34" x14ac:dyDescent="0.2">
      <c r="A130" s="347">
        <f t="shared" ca="1" si="35"/>
        <v>0.01</v>
      </c>
      <c r="B130" s="304">
        <f t="shared" ca="1" si="36"/>
        <v>4.4599999999999733</v>
      </c>
      <c r="D130" s="306">
        <f t="shared" ca="1" si="37"/>
        <v>-6.2704786547733864</v>
      </c>
      <c r="E130" s="307">
        <f t="shared" ca="1" si="38"/>
        <v>-36.877477209991383</v>
      </c>
      <c r="F130" s="304">
        <f t="shared" ca="1" si="39"/>
        <v>37.406780507461512</v>
      </c>
      <c r="G130" s="306">
        <f t="shared" ca="1" si="40"/>
        <v>40.253927226545791</v>
      </c>
      <c r="H130" s="307">
        <f t="shared" ca="1" si="41"/>
        <v>173.66411462579188</v>
      </c>
      <c r="I130" s="304">
        <f t="shared" ca="1" si="42"/>
        <v>178.26834650582313</v>
      </c>
      <c r="J130" s="306">
        <f t="shared" ca="1" si="43"/>
        <v>152.29432943542716</v>
      </c>
      <c r="K130" s="307">
        <f t="shared" ca="1" si="44"/>
        <v>727.98011477510659</v>
      </c>
      <c r="L130" s="304">
        <f t="shared" ca="1" si="29"/>
        <v>743.73961188453836</v>
      </c>
      <c r="M130" s="306">
        <f t="shared" ca="1" si="45"/>
        <v>1.3430267782985972</v>
      </c>
      <c r="N130" s="304">
        <f t="shared" ca="1" si="46"/>
        <v>76.949766169561713</v>
      </c>
      <c r="P130" s="310">
        <f t="shared" ca="1" si="47"/>
        <v>13</v>
      </c>
      <c r="Q130" s="304">
        <f t="shared" ca="1" si="48"/>
        <v>0</v>
      </c>
      <c r="R130" s="306">
        <f t="shared" ca="1" si="49"/>
        <v>0</v>
      </c>
      <c r="S130" s="307">
        <f t="shared" ca="1" si="50"/>
        <v>2.6792999999999987</v>
      </c>
      <c r="T130" s="304">
        <f t="shared" ca="1" si="30"/>
        <v>26.283932999999987</v>
      </c>
      <c r="U130" s="311">
        <f t="shared" ca="1" si="31"/>
        <v>0</v>
      </c>
      <c r="V130" s="306">
        <f t="shared" ca="1" si="32"/>
        <v>1.1389544098690216</v>
      </c>
      <c r="W130" s="304">
        <f t="shared" ca="1" si="33"/>
        <v>74.118681060645983</v>
      </c>
      <c r="Y130" s="314" t="str">
        <f t="shared" ca="1" si="51"/>
        <v/>
      </c>
      <c r="Z130" s="315" t="str">
        <f t="shared" ca="1" si="52"/>
        <v/>
      </c>
      <c r="AA130" s="316" t="str">
        <f t="shared" ca="1" si="53"/>
        <v/>
      </c>
      <c r="AC130" s="310" t="e">
        <f t="shared" ca="1" si="54"/>
        <v>#N/A</v>
      </c>
      <c r="AD130" s="323" t="e">
        <f t="shared" ca="1" si="55"/>
        <v>#N/A</v>
      </c>
      <c r="AE130" s="324">
        <f t="shared" ca="1" si="34"/>
        <v>727.98011477510659</v>
      </c>
      <c r="AG130" s="306">
        <f t="shared" ca="1" si="56"/>
        <v>-37.341205092578605</v>
      </c>
      <c r="AH130" s="304">
        <f t="shared" ca="1" si="57"/>
        <v>-27.784298174929155</v>
      </c>
    </row>
    <row r="131" spans="1:34" x14ac:dyDescent="0.2">
      <c r="A131" s="347">
        <f t="shared" ca="1" si="35"/>
        <v>0.01</v>
      </c>
      <c r="B131" s="304">
        <f t="shared" ca="1" si="36"/>
        <v>4.4699999999999731</v>
      </c>
      <c r="D131" s="306">
        <f t="shared" ca="1" si="37"/>
        <v>-6.2465519935750073</v>
      </c>
      <c r="E131" s="307">
        <f t="shared" ca="1" si="38"/>
        <v>-36.758971098472031</v>
      </c>
      <c r="F131" s="304">
        <f t="shared" ca="1" si="39"/>
        <v>37.285940621455936</v>
      </c>
      <c r="G131" s="306">
        <f t="shared" ca="1" si="40"/>
        <v>40.191461706610042</v>
      </c>
      <c r="H131" s="307">
        <f t="shared" ca="1" si="41"/>
        <v>173.29652491480715</v>
      </c>
      <c r="I131" s="304">
        <f t="shared" ca="1" si="42"/>
        <v>177.89614706806407</v>
      </c>
      <c r="J131" s="306">
        <f t="shared" ca="1" si="43"/>
        <v>152.69655638009294</v>
      </c>
      <c r="K131" s="307">
        <f t="shared" ca="1" si="44"/>
        <v>729.71491797280953</v>
      </c>
      <c r="L131" s="304">
        <f t="shared" ca="1" si="29"/>
        <v>745.52001974621919</v>
      </c>
      <c r="M131" s="306">
        <f t="shared" ca="1" si="45"/>
        <v>1.3429022590511648</v>
      </c>
      <c r="N131" s="304">
        <f t="shared" ca="1" si="46"/>
        <v>76.942631742215696</v>
      </c>
      <c r="P131" s="310">
        <f t="shared" ca="1" si="47"/>
        <v>13</v>
      </c>
      <c r="Q131" s="304">
        <f t="shared" ca="1" si="48"/>
        <v>0</v>
      </c>
      <c r="R131" s="306">
        <f t="shared" ca="1" si="49"/>
        <v>0</v>
      </c>
      <c r="S131" s="307">
        <f t="shared" ca="1" si="50"/>
        <v>2.6792999999999987</v>
      </c>
      <c r="T131" s="304">
        <f t="shared" ca="1" si="30"/>
        <v>26.283932999999987</v>
      </c>
      <c r="U131" s="311">
        <f t="shared" ca="1" si="31"/>
        <v>0</v>
      </c>
      <c r="V131" s="306">
        <f t="shared" ca="1" si="32"/>
        <v>1.1387565781243161</v>
      </c>
      <c r="W131" s="304">
        <f t="shared" ca="1" si="33"/>
        <v>73.796684813430417</v>
      </c>
      <c r="Y131" s="314" t="str">
        <f t="shared" ca="1" si="51"/>
        <v/>
      </c>
      <c r="Z131" s="315" t="str">
        <f t="shared" ca="1" si="52"/>
        <v/>
      </c>
      <c r="AA131" s="316" t="str">
        <f t="shared" ca="1" si="53"/>
        <v/>
      </c>
      <c r="AC131" s="310" t="e">
        <f t="shared" ca="1" si="54"/>
        <v>#N/A</v>
      </c>
      <c r="AD131" s="323" t="e">
        <f t="shared" ca="1" si="55"/>
        <v>#N/A</v>
      </c>
      <c r="AE131" s="324">
        <f t="shared" ca="1" si="34"/>
        <v>729.71491797280953</v>
      </c>
      <c r="AG131" s="306">
        <f t="shared" ca="1" si="56"/>
        <v>-37.220081690277425</v>
      </c>
      <c r="AH131" s="304">
        <f t="shared" ca="1" si="57"/>
        <v>-27.663449804294412</v>
      </c>
    </row>
    <row r="132" spans="1:34" x14ac:dyDescent="0.2">
      <c r="A132" s="347">
        <f t="shared" ca="1" si="35"/>
        <v>0.01</v>
      </c>
      <c r="B132" s="304">
        <f t="shared" ca="1" si="36"/>
        <v>4.4799999999999729</v>
      </c>
      <c r="D132" s="306">
        <f t="shared" ca="1" si="37"/>
        <v>-6.2227559295808241</v>
      </c>
      <c r="E132" s="307">
        <f t="shared" ca="1" si="38"/>
        <v>-36.641121143623707</v>
      </c>
      <c r="F132" s="304">
        <f t="shared" ca="1" si="39"/>
        <v>37.165769869879483</v>
      </c>
      <c r="G132" s="306">
        <f t="shared" ca="1" si="40"/>
        <v>40.129234147314236</v>
      </c>
      <c r="H132" s="307">
        <f t="shared" ca="1" si="41"/>
        <v>172.93011370337092</v>
      </c>
      <c r="I132" s="304">
        <f t="shared" ca="1" si="42"/>
        <v>177.52515218613604</v>
      </c>
      <c r="J132" s="306">
        <f t="shared" ca="1" si="43"/>
        <v>153.09815985936257</v>
      </c>
      <c r="K132" s="307">
        <f t="shared" ca="1" si="44"/>
        <v>731.44605116590037</v>
      </c>
      <c r="L132" s="304">
        <f t="shared" ref="L132:L195" ca="1" si="58">SQRT(pos_x^2+pos_z^2)</f>
        <v>747.29670969335325</v>
      </c>
      <c r="M132" s="306">
        <f t="shared" ca="1" si="45"/>
        <v>1.3427774125505096</v>
      </c>
      <c r="N132" s="304">
        <f t="shared" ca="1" si="46"/>
        <v>76.935478564641187</v>
      </c>
      <c r="P132" s="310">
        <f t="shared" ca="1" si="47"/>
        <v>13</v>
      </c>
      <c r="Q132" s="304">
        <f t="shared" ca="1" si="48"/>
        <v>0</v>
      </c>
      <c r="R132" s="306">
        <f t="shared" ca="1" si="49"/>
        <v>0</v>
      </c>
      <c r="S132" s="307">
        <f t="shared" ca="1" si="50"/>
        <v>2.6792999999999987</v>
      </c>
      <c r="T132" s="304">
        <f t="shared" ref="T132:T195" ca="1" si="59">m*g</f>
        <v>26.283932999999987</v>
      </c>
      <c r="U132" s="311">
        <f t="shared" ref="U132:U195" ca="1" si="60">IF(pos_xz&lt;L_rampe,Poids*COS(Beta),0)</f>
        <v>0</v>
      </c>
      <c r="V132" s="306">
        <f t="shared" ref="V132:V195" ca="1" si="61">Rho_moyen*(20000-Alt_rampe-pos_z)/(20000+Alt_rampe+pos_z)</f>
        <v>1.1385591978999614</v>
      </c>
      <c r="W132" s="304">
        <f t="shared" ref="W132:W195" ca="1" si="62">1/2*Rho*Sref*Cx*vit_xz^2</f>
        <v>73.47646818754049</v>
      </c>
      <c r="Y132" s="314" t="str">
        <f t="shared" ca="1" si="51"/>
        <v/>
      </c>
      <c r="Z132" s="315" t="str">
        <f t="shared" ca="1" si="52"/>
        <v/>
      </c>
      <c r="AA132" s="316" t="str">
        <f t="shared" ca="1" si="53"/>
        <v/>
      </c>
      <c r="AC132" s="310" t="e">
        <f t="shared" ca="1" si="54"/>
        <v>#N/A</v>
      </c>
      <c r="AD132" s="323" t="e">
        <f t="shared" ca="1" si="55"/>
        <v>#N/A</v>
      </c>
      <c r="AE132" s="324">
        <f t="shared" ref="AE132:AE195" ca="1" si="63">IF(t&lt;T_para, pos_z, NA())</f>
        <v>731.44605116590037</v>
      </c>
      <c r="AG132" s="306">
        <f t="shared" ca="1" si="56"/>
        <v>-37.099626543910645</v>
      </c>
      <c r="AH132" s="304">
        <f t="shared" ca="1" si="57"/>
        <v>-27.543270560754845</v>
      </c>
    </row>
    <row r="133" spans="1:34" x14ac:dyDescent="0.2">
      <c r="A133" s="347">
        <f t="shared" ref="A133:A196" ca="1" si="64">IF(B132+0.01&lt;=T_ini+ROUNDUP(Temps_fin_propu,0), 0.01, IF(K132&gt;0, 0.1, 0.0001))</f>
        <v>0.01</v>
      </c>
      <c r="B133" s="304">
        <f t="shared" ref="B133:B196" ca="1" si="65">B132+pas</f>
        <v>4.4899999999999727</v>
      </c>
      <c r="D133" s="306">
        <f t="shared" ref="D133:D196" ca="1" si="66">IF(AND(L132&lt;L_rampe,Poussee&lt;Poids*SIN(M132)),0,(-W132+Poussee)/m*COS(M132)-U132/m*SIN(M132))</f>
        <v>-6.1990894994330814</v>
      </c>
      <c r="E133" s="307">
        <f t="shared" ref="E133:E196" ca="1" si="67">IF(AND(L132&lt;L_rampe,Poussee&lt;Poids*SIN(M132)),0,(-W132+Poussee)/m*SIN(M132)+U132/m*COS(M132)-Poids/m)</f>
        <v>-36.52392252488535</v>
      </c>
      <c r="F133" s="304">
        <f t="shared" ref="F133:F196" ca="1" si="68">SQRT(acc_x^2+acc_z^2)</f>
        <v>37.046263336884721</v>
      </c>
      <c r="G133" s="306">
        <f t="shared" ref="G133:G196" ca="1" si="69">G132+acc_x*pas</f>
        <v>40.067243252319905</v>
      </c>
      <c r="H133" s="307">
        <f t="shared" ref="H133:H196" ca="1" si="70">H132+acc_z*pas</f>
        <v>172.56487447812208</v>
      </c>
      <c r="I133" s="304">
        <f t="shared" ref="I133:I196" ca="1" si="71">SQRT(vit_x^2+vit_z^2)</f>
        <v>177.15535522667838</v>
      </c>
      <c r="J133" s="306">
        <f t="shared" ref="J133:J196" ca="1" si="72">J132+0.5*(vit_x+G132)*pas*(K132&gt;=0)</f>
        <v>153.49914224636075</v>
      </c>
      <c r="K133" s="307">
        <f t="shared" ref="K133:K196" ca="1" si="73">K132+0.5*(vit_z+H132)*pas</f>
        <v>733.1735261068078</v>
      </c>
      <c r="L133" s="304">
        <f t="shared" ca="1" si="58"/>
        <v>749.06969372299295</v>
      </c>
      <c r="M133" s="306">
        <f t="shared" ref="M133:M196" ca="1" si="74">IF(AND(L132&gt;L_rampe,G133&gt;0),ATAN2(G133,H133),$M$4)</f>
        <v>1.3426522380978154</v>
      </c>
      <c r="N133" s="304">
        <f t="shared" ref="N133:N196" ca="1" si="75">DEGREES(Beta)</f>
        <v>76.928306596798947</v>
      </c>
      <c r="P133" s="310">
        <f t="shared" ref="P133:P196" ca="1" si="76">MATCH(t-pas/2-T_ini,CdP_t)</f>
        <v>13</v>
      </c>
      <c r="Q133" s="304">
        <f t="shared" ref="Q133:Q196" ca="1" si="77">(INDEX(CdP,2,i_P+1)-INDEX(CdP,2,i_P+0))/(INDEX(CdP,1,i_P+1)-INDEX(CdP,1,i_P+0))*(t-pas/2-T_ini-INDEX(CdP,1,i_P+0))+INDEX(CdP,2,i_P+0)</f>
        <v>0</v>
      </c>
      <c r="R133" s="306">
        <f t="shared" ref="R133:R196" ca="1" si="78">Poussee/(g*ISP)</f>
        <v>0</v>
      </c>
      <c r="S133" s="307">
        <f t="shared" ref="S133:S196" ca="1" si="79">S132-Débit*pas</f>
        <v>2.6792999999999987</v>
      </c>
      <c r="T133" s="304">
        <f t="shared" ca="1" si="59"/>
        <v>26.283932999999987</v>
      </c>
      <c r="U133" s="311">
        <f t="shared" ca="1" si="60"/>
        <v>0</v>
      </c>
      <c r="V133" s="306">
        <f t="shared" ca="1" si="61"/>
        <v>1.1383622676383893</v>
      </c>
      <c r="W133" s="304">
        <f t="shared" ca="1" si="62"/>
        <v>73.158018133697482</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733.1735261068078</v>
      </c>
      <c r="AG133" s="306">
        <f t="shared" ref="AG133:AG196" ca="1" si="85">IF(AND(L132&lt;L_rampe,Poussee&lt;Poids*SIN(M132)),0,(-W132+Poussee)/m-Poids*SIN(M132)/m)</f>
        <v>-36.979834734974119</v>
      </c>
      <c r="AH133" s="304">
        <f t="shared" ref="AH133:AH196" ca="1" si="86">IF(AND(L132&lt;L_rampe,Poussee&lt;Poids*SIN(M132)), g*SIN(M132), (-W132+Poussee)/m)</f>
        <v>-27.423755528511375</v>
      </c>
    </row>
    <row r="134" spans="1:34" x14ac:dyDescent="0.2">
      <c r="A134" s="347">
        <f t="shared" ca="1" si="64"/>
        <v>0.01</v>
      </c>
      <c r="B134" s="304">
        <f t="shared" ca="1" si="65"/>
        <v>4.4999999999999725</v>
      </c>
      <c r="D134" s="306">
        <f t="shared" ca="1" si="66"/>
        <v>-6.1755517486658924</v>
      </c>
      <c r="E134" s="307">
        <f t="shared" ca="1" si="67"/>
        <v>-36.407370466209294</v>
      </c>
      <c r="F134" s="304">
        <f t="shared" ca="1" si="68"/>
        <v>36.92741615201718</v>
      </c>
      <c r="G134" s="306">
        <f t="shared" ca="1" si="69"/>
        <v>40.005487734833245</v>
      </c>
      <c r="H134" s="307">
        <f t="shared" ca="1" si="70"/>
        <v>172.20080077345997</v>
      </c>
      <c r="I134" s="304">
        <f t="shared" ca="1" si="71"/>
        <v>176.7867496050616</v>
      </c>
      <c r="J134" s="306">
        <f t="shared" ca="1" si="72"/>
        <v>153.89950590129652</v>
      </c>
      <c r="K134" s="307">
        <f t="shared" ca="1" si="73"/>
        <v>734.89735448306567</v>
      </c>
      <c r="L134" s="304">
        <f t="shared" ca="1" si="58"/>
        <v>750.83898376607476</v>
      </c>
      <c r="M134" s="306">
        <f t="shared" ca="1" si="74"/>
        <v>1.3425267349915118</v>
      </c>
      <c r="N134" s="304">
        <f t="shared" ca="1" si="75"/>
        <v>76.921115798491954</v>
      </c>
      <c r="P134" s="310">
        <f t="shared" ca="1" si="76"/>
        <v>13</v>
      </c>
      <c r="Q134" s="304">
        <f t="shared" ca="1" si="77"/>
        <v>0</v>
      </c>
      <c r="R134" s="306">
        <f t="shared" ca="1" si="78"/>
        <v>0</v>
      </c>
      <c r="S134" s="307">
        <f t="shared" ca="1" si="79"/>
        <v>2.6792999999999987</v>
      </c>
      <c r="T134" s="304">
        <f t="shared" ca="1" si="59"/>
        <v>26.283932999999987</v>
      </c>
      <c r="U134" s="311">
        <f t="shared" ca="1" si="60"/>
        <v>0</v>
      </c>
      <c r="V134" s="306">
        <f t="shared" ca="1" si="61"/>
        <v>1.1381657857908698</v>
      </c>
      <c r="W134" s="304">
        <f t="shared" ca="1" si="62"/>
        <v>72.841321722895373</v>
      </c>
      <c r="Y134" s="314" t="str">
        <f t="shared" ca="1" si="80"/>
        <v/>
      </c>
      <c r="Z134" s="315" t="str">
        <f t="shared" ca="1" si="81"/>
        <v/>
      </c>
      <c r="AA134" s="316" t="str">
        <f t="shared" ca="1" si="82"/>
        <v/>
      </c>
      <c r="AC134" s="310" t="e">
        <f t="shared" ca="1" si="83"/>
        <v>#N/A</v>
      </c>
      <c r="AD134" s="323" t="e">
        <f t="shared" ca="1" si="84"/>
        <v>#N/A</v>
      </c>
      <c r="AE134" s="324">
        <f t="shared" ca="1" si="63"/>
        <v>734.89735448306567</v>
      </c>
      <c r="AG134" s="306">
        <f t="shared" ca="1" si="85"/>
        <v>-36.86070139034441</v>
      </c>
      <c r="AH134" s="304">
        <f t="shared" ca="1" si="86"/>
        <v>-27.304899837158032</v>
      </c>
    </row>
    <row r="135" spans="1:34" x14ac:dyDescent="0.2">
      <c r="A135" s="347">
        <f t="shared" ca="1" si="64"/>
        <v>0.01</v>
      </c>
      <c r="B135" s="304">
        <f t="shared" ca="1" si="65"/>
        <v>4.5099999999999723</v>
      </c>
      <c r="D135" s="306">
        <f t="shared" ca="1" si="66"/>
        <v>-6.1521417316065765</v>
      </c>
      <c r="E135" s="307">
        <f t="shared" ca="1" si="67"/>
        <v>-36.291460235567577</v>
      </c>
      <c r="F135" s="304">
        <f t="shared" ca="1" si="68"/>
        <v>36.80922348971189</v>
      </c>
      <c r="G135" s="306">
        <f t="shared" ca="1" si="69"/>
        <v>39.94396631751718</v>
      </c>
      <c r="H135" s="307">
        <f t="shared" ca="1" si="70"/>
        <v>171.83788617110429</v>
      </c>
      <c r="I135" s="304">
        <f t="shared" ca="1" si="71"/>
        <v>176.41932878493881</v>
      </c>
      <c r="J135" s="306">
        <f t="shared" ca="1" si="72"/>
        <v>154.29925317155826</v>
      </c>
      <c r="K135" s="307">
        <f t="shared" ca="1" si="73"/>
        <v>736.61754791778844</v>
      </c>
      <c r="L135" s="304">
        <f t="shared" ca="1" si="58"/>
        <v>752.60459168790351</v>
      </c>
      <c r="M135" s="306">
        <f t="shared" ca="1" si="74"/>
        <v>1.3424009025272632</v>
      </c>
      <c r="N135" s="304">
        <f t="shared" ca="1" si="75"/>
        <v>76.91390612936479</v>
      </c>
      <c r="P135" s="310">
        <f t="shared" ca="1" si="76"/>
        <v>13</v>
      </c>
      <c r="Q135" s="304">
        <f t="shared" ca="1" si="77"/>
        <v>0</v>
      </c>
      <c r="R135" s="306">
        <f t="shared" ca="1" si="78"/>
        <v>0</v>
      </c>
      <c r="S135" s="307">
        <f t="shared" ca="1" si="79"/>
        <v>2.6792999999999987</v>
      </c>
      <c r="T135" s="304">
        <f t="shared" ca="1" si="59"/>
        <v>26.283932999999987</v>
      </c>
      <c r="U135" s="311">
        <f t="shared" ca="1" si="60"/>
        <v>0</v>
      </c>
      <c r="V135" s="306">
        <f t="shared" ca="1" si="61"/>
        <v>1.1379697508174473</v>
      </c>
      <c r="W135" s="304">
        <f t="shared" ca="1" si="62"/>
        <v>72.526366145069971</v>
      </c>
      <c r="Y135" s="314" t="str">
        <f t="shared" ca="1" si="80"/>
        <v/>
      </c>
      <c r="Z135" s="315" t="str">
        <f t="shared" ca="1" si="81"/>
        <v/>
      </c>
      <c r="AA135" s="316" t="str">
        <f t="shared" ca="1" si="82"/>
        <v/>
      </c>
      <c r="AC135" s="310" t="e">
        <f t="shared" ca="1" si="83"/>
        <v>#N/A</v>
      </c>
      <c r="AD135" s="323" t="e">
        <f t="shared" ca="1" si="84"/>
        <v>#N/A</v>
      </c>
      <c r="AE135" s="324">
        <f t="shared" ca="1" si="63"/>
        <v>736.61754791778844</v>
      </c>
      <c r="AG135" s="306">
        <f t="shared" ca="1" si="85"/>
        <v>-36.742221681775213</v>
      </c>
      <c r="AH135" s="304">
        <f t="shared" ca="1" si="86"/>
        <v>-27.186698661178447</v>
      </c>
    </row>
    <row r="136" spans="1:34" x14ac:dyDescent="0.2">
      <c r="A136" s="347">
        <f t="shared" ca="1" si="64"/>
        <v>0.01</v>
      </c>
      <c r="B136" s="304">
        <f t="shared" ca="1" si="65"/>
        <v>4.519999999999972</v>
      </c>
      <c r="D136" s="306">
        <f t="shared" ca="1" si="66"/>
        <v>-6.1288585112783664</v>
      </c>
      <c r="E136" s="307">
        <f t="shared" ca="1" si="67"/>
        <v>-36.176187144464791</v>
      </c>
      <c r="F136" s="304">
        <f t="shared" ca="1" si="68"/>
        <v>36.691680568796642</v>
      </c>
      <c r="G136" s="306">
        <f t="shared" ca="1" si="69"/>
        <v>39.882677732404396</v>
      </c>
      <c r="H136" s="307">
        <f t="shared" ca="1" si="70"/>
        <v>171.47612429965963</v>
      </c>
      <c r="I136" s="304">
        <f t="shared" ca="1" si="71"/>
        <v>176.05308627780187</v>
      </c>
      <c r="J136" s="306">
        <f t="shared" ca="1" si="72"/>
        <v>154.69838639180787</v>
      </c>
      <c r="K136" s="307">
        <f t="shared" ca="1" si="73"/>
        <v>738.3341179701423</v>
      </c>
      <c r="L136" s="304">
        <f t="shared" ca="1" si="58"/>
        <v>754.36652928863236</v>
      </c>
      <c r="M136" s="306">
        <f t="shared" ca="1" si="74"/>
        <v>1.3422747399979582</v>
      </c>
      <c r="N136" s="304">
        <f t="shared" ca="1" si="75"/>
        <v>76.90667754890292</v>
      </c>
      <c r="P136" s="310">
        <f t="shared" ca="1" si="76"/>
        <v>13</v>
      </c>
      <c r="Q136" s="304">
        <f t="shared" ca="1" si="77"/>
        <v>0</v>
      </c>
      <c r="R136" s="306">
        <f t="shared" ca="1" si="78"/>
        <v>0</v>
      </c>
      <c r="S136" s="307">
        <f t="shared" ca="1" si="79"/>
        <v>2.6792999999999987</v>
      </c>
      <c r="T136" s="304">
        <f t="shared" ca="1" si="59"/>
        <v>26.283932999999987</v>
      </c>
      <c r="U136" s="311">
        <f t="shared" ca="1" si="60"/>
        <v>0</v>
      </c>
      <c r="V136" s="306">
        <f t="shared" ca="1" si="61"/>
        <v>1.1377741611868726</v>
      </c>
      <c r="W136" s="304">
        <f t="shared" ca="1" si="62"/>
        <v>72.213138707784438</v>
      </c>
      <c r="Y136" s="314" t="str">
        <f t="shared" ca="1" si="80"/>
        <v/>
      </c>
      <c r="Z136" s="315" t="str">
        <f t="shared" ca="1" si="81"/>
        <v/>
      </c>
      <c r="AA136" s="316" t="str">
        <f t="shared" ca="1" si="82"/>
        <v/>
      </c>
      <c r="AC136" s="310" t="e">
        <f t="shared" ca="1" si="83"/>
        <v>#N/A</v>
      </c>
      <c r="AD136" s="323" t="e">
        <f t="shared" ca="1" si="84"/>
        <v>#N/A</v>
      </c>
      <c r="AE136" s="324">
        <f t="shared" ca="1" si="63"/>
        <v>738.3341179701423</v>
      </c>
      <c r="AG136" s="306">
        <f t="shared" ca="1" si="85"/>
        <v>-36.624390825400567</v>
      </c>
      <c r="AH136" s="304">
        <f t="shared" ca="1" si="86"/>
        <v>-27.069147219449114</v>
      </c>
    </row>
    <row r="137" spans="1:34" x14ac:dyDescent="0.2">
      <c r="A137" s="347">
        <f t="shared" ca="1" si="64"/>
        <v>0.01</v>
      </c>
      <c r="B137" s="304">
        <f t="shared" ca="1" si="65"/>
        <v>4.5299999999999718</v>
      </c>
      <c r="D137" s="306">
        <f t="shared" ca="1" si="66"/>
        <v>-6.1057011593043047</v>
      </c>
      <c r="E137" s="307">
        <f t="shared" ca="1" si="67"/>
        <v>-36.061546547457013</v>
      </c>
      <c r="F137" s="304">
        <f t="shared" ca="1" si="68"/>
        <v>36.574782652001346</v>
      </c>
      <c r="G137" s="306">
        <f t="shared" ca="1" si="69"/>
        <v>39.821620720811353</v>
      </c>
      <c r="H137" s="307">
        <f t="shared" ca="1" si="70"/>
        <v>171.11550883418505</v>
      </c>
      <c r="I137" s="304">
        <f t="shared" ca="1" si="71"/>
        <v>175.68801564254238</v>
      </c>
      <c r="J137" s="306">
        <f t="shared" ca="1" si="72"/>
        <v>155.09690788407394</v>
      </c>
      <c r="K137" s="307">
        <f t="shared" ca="1" si="73"/>
        <v>740.04707613581149</v>
      </c>
      <c r="L137" s="304">
        <f t="shared" ca="1" si="58"/>
        <v>756.12480830373795</v>
      </c>
      <c r="M137" s="306">
        <f t="shared" ca="1" si="74"/>
        <v>1.3421482466936991</v>
      </c>
      <c r="N137" s="304">
        <f t="shared" ca="1" si="75"/>
        <v>76.899430016432206</v>
      </c>
      <c r="P137" s="310">
        <f t="shared" ca="1" si="76"/>
        <v>13</v>
      </c>
      <c r="Q137" s="304">
        <f t="shared" ca="1" si="77"/>
        <v>0</v>
      </c>
      <c r="R137" s="306">
        <f t="shared" ca="1" si="78"/>
        <v>0</v>
      </c>
      <c r="S137" s="307">
        <f t="shared" ca="1" si="79"/>
        <v>2.6792999999999987</v>
      </c>
      <c r="T137" s="304">
        <f t="shared" ca="1" si="59"/>
        <v>26.283932999999987</v>
      </c>
      <c r="U137" s="311">
        <f t="shared" ca="1" si="60"/>
        <v>0</v>
      </c>
      <c r="V137" s="306">
        <f t="shared" ca="1" si="61"/>
        <v>1.1375790153765386</v>
      </c>
      <c r="W137" s="304">
        <f t="shared" ca="1" si="62"/>
        <v>71.901626834932188</v>
      </c>
      <c r="Y137" s="314" t="str">
        <f t="shared" ca="1" si="80"/>
        <v/>
      </c>
      <c r="Z137" s="315" t="str">
        <f t="shared" ca="1" si="81"/>
        <v/>
      </c>
      <c r="AA137" s="316" t="str">
        <f t="shared" ca="1" si="82"/>
        <v/>
      </c>
      <c r="AC137" s="310" t="e">
        <f t="shared" ca="1" si="83"/>
        <v>#N/A</v>
      </c>
      <c r="AD137" s="323" t="e">
        <f t="shared" ca="1" si="84"/>
        <v>#N/A</v>
      </c>
      <c r="AE137" s="324">
        <f t="shared" ca="1" si="63"/>
        <v>740.04707613581149</v>
      </c>
      <c r="AG137" s="306">
        <f t="shared" ca="1" si="85"/>
        <v>-36.507204081244183</v>
      </c>
      <c r="AH137" s="304">
        <f t="shared" ca="1" si="86"/>
        <v>-26.952240774748805</v>
      </c>
    </row>
    <row r="138" spans="1:34" x14ac:dyDescent="0.2">
      <c r="A138" s="347">
        <f t="shared" ca="1" si="64"/>
        <v>0.01</v>
      </c>
      <c r="B138" s="304">
        <f t="shared" ca="1" si="65"/>
        <v>4.5399999999999716</v>
      </c>
      <c r="D138" s="306">
        <f t="shared" ca="1" si="66"/>
        <v>-6.0826687558123842</v>
      </c>
      <c r="E138" s="307">
        <f t="shared" ca="1" si="67"/>
        <v>-35.947533841677057</v>
      </c>
      <c r="F138" s="304">
        <f t="shared" ca="1" si="68"/>
        <v>36.458525045473976</v>
      </c>
      <c r="G138" s="306">
        <f t="shared" ca="1" si="69"/>
        <v>39.760794033253227</v>
      </c>
      <c r="H138" s="307">
        <f t="shared" ca="1" si="70"/>
        <v>170.75603349576829</v>
      </c>
      <c r="I138" s="304">
        <f t="shared" ca="1" si="71"/>
        <v>175.3241104850178</v>
      </c>
      <c r="J138" s="306">
        <f t="shared" ca="1" si="72"/>
        <v>155.49481995784427</v>
      </c>
      <c r="K138" s="307">
        <f t="shared" ca="1" si="73"/>
        <v>741.75643384746127</v>
      </c>
      <c r="L138" s="304">
        <f t="shared" ca="1" si="58"/>
        <v>757.87944040449179</v>
      </c>
      <c r="M138" s="306">
        <f t="shared" ca="1" si="74"/>
        <v>1.3420214219017919</v>
      </c>
      <c r="N138" s="304">
        <f t="shared" ca="1" si="75"/>
        <v>76.892163491118296</v>
      </c>
      <c r="P138" s="310">
        <f t="shared" ca="1" si="76"/>
        <v>13</v>
      </c>
      <c r="Q138" s="304">
        <f t="shared" ca="1" si="77"/>
        <v>0</v>
      </c>
      <c r="R138" s="306">
        <f t="shared" ca="1" si="78"/>
        <v>0</v>
      </c>
      <c r="S138" s="307">
        <f t="shared" ca="1" si="79"/>
        <v>2.6792999999999987</v>
      </c>
      <c r="T138" s="304">
        <f t="shared" ca="1" si="59"/>
        <v>26.283932999999987</v>
      </c>
      <c r="U138" s="311">
        <f t="shared" ca="1" si="60"/>
        <v>0</v>
      </c>
      <c r="V138" s="306">
        <f t="shared" ca="1" si="61"/>
        <v>1.1373843118724163</v>
      </c>
      <c r="W138" s="304">
        <f t="shared" ca="1" si="62"/>
        <v>71.591818065456494</v>
      </c>
      <c r="Y138" s="314" t="str">
        <f t="shared" ca="1" si="80"/>
        <v/>
      </c>
      <c r="Z138" s="315" t="str">
        <f t="shared" ca="1" si="81"/>
        <v/>
      </c>
      <c r="AA138" s="316" t="str">
        <f t="shared" ca="1" si="82"/>
        <v/>
      </c>
      <c r="AC138" s="310" t="e">
        <f t="shared" ca="1" si="83"/>
        <v>#N/A</v>
      </c>
      <c r="AD138" s="323" t="e">
        <f t="shared" ca="1" si="84"/>
        <v>#N/A</v>
      </c>
      <c r="AE138" s="324">
        <f t="shared" ca="1" si="63"/>
        <v>741.75643384746127</v>
      </c>
      <c r="AG138" s="306">
        <f t="shared" ca="1" si="85"/>
        <v>-36.390656752735282</v>
      </c>
      <c r="AH138" s="304">
        <f t="shared" ca="1" si="86"/>
        <v>-26.835974633274446</v>
      </c>
    </row>
    <row r="139" spans="1:34" x14ac:dyDescent="0.2">
      <c r="A139" s="347">
        <f t="shared" ca="1" si="64"/>
        <v>0.01</v>
      </c>
      <c r="B139" s="304">
        <f t="shared" ca="1" si="65"/>
        <v>4.5499999999999714</v>
      </c>
      <c r="D139" s="306">
        <f t="shared" ca="1" si="66"/>
        <v>-6.0597603893419203</v>
      </c>
      <c r="E139" s="307">
        <f t="shared" ca="1" si="67"/>
        <v>-35.834144466365856</v>
      </c>
      <c r="F139" s="304">
        <f t="shared" ca="1" si="68"/>
        <v>36.342903098302649</v>
      </c>
      <c r="G139" s="306">
        <f t="shared" ca="1" si="69"/>
        <v>39.700196429359806</v>
      </c>
      <c r="H139" s="307">
        <f t="shared" ca="1" si="70"/>
        <v>170.39769205110463</v>
      </c>
      <c r="I139" s="304">
        <f t="shared" ca="1" si="71"/>
        <v>174.96136445762201</v>
      </c>
      <c r="J139" s="306">
        <f t="shared" ca="1" si="72"/>
        <v>155.89212491015735</v>
      </c>
      <c r="K139" s="307">
        <f t="shared" ca="1" si="73"/>
        <v>743.46220247519568</v>
      </c>
      <c r="L139" s="304">
        <f t="shared" ca="1" si="58"/>
        <v>759.63043719842676</v>
      </c>
      <c r="M139" s="306">
        <f t="shared" ca="1" si="74"/>
        <v>1.3418942649067329</v>
      </c>
      <c r="N139" s="304">
        <f t="shared" ca="1" si="75"/>
        <v>76.884877931965846</v>
      </c>
      <c r="P139" s="310">
        <f t="shared" ca="1" si="76"/>
        <v>13</v>
      </c>
      <c r="Q139" s="304">
        <f t="shared" ca="1" si="77"/>
        <v>0</v>
      </c>
      <c r="R139" s="306">
        <f t="shared" ca="1" si="78"/>
        <v>0</v>
      </c>
      <c r="S139" s="307">
        <f t="shared" ca="1" si="79"/>
        <v>2.6792999999999987</v>
      </c>
      <c r="T139" s="304">
        <f t="shared" ca="1" si="59"/>
        <v>26.283932999999987</v>
      </c>
      <c r="U139" s="311">
        <f t="shared" ca="1" si="60"/>
        <v>0</v>
      </c>
      <c r="V139" s="306">
        <f t="shared" ca="1" si="61"/>
        <v>1.1371900491689917</v>
      </c>
      <c r="W139" s="304">
        <f t="shared" ca="1" si="62"/>
        <v>71.283700052086402</v>
      </c>
      <c r="Y139" s="314" t="str">
        <f t="shared" ca="1" si="80"/>
        <v/>
      </c>
      <c r="Z139" s="315" t="str">
        <f t="shared" ca="1" si="81"/>
        <v/>
      </c>
      <c r="AA139" s="316" t="str">
        <f t="shared" ca="1" si="82"/>
        <v/>
      </c>
      <c r="AC139" s="310" t="e">
        <f t="shared" ca="1" si="83"/>
        <v>#N/A</v>
      </c>
      <c r="AD139" s="323" t="e">
        <f t="shared" ca="1" si="84"/>
        <v>#N/A</v>
      </c>
      <c r="AE139" s="324">
        <f t="shared" ca="1" si="63"/>
        <v>743.46220247519568</v>
      </c>
      <c r="AG139" s="306">
        <f t="shared" ca="1" si="85"/>
        <v>-36.274744186230642</v>
      </c>
      <c r="AH139" s="304">
        <f t="shared" ca="1" si="86"/>
        <v>-26.720344144163224</v>
      </c>
    </row>
    <row r="140" spans="1:34" x14ac:dyDescent="0.2">
      <c r="A140" s="347">
        <f t="shared" ca="1" si="64"/>
        <v>0.01</v>
      </c>
      <c r="B140" s="304">
        <f t="shared" ca="1" si="65"/>
        <v>4.5599999999999712</v>
      </c>
      <c r="D140" s="306">
        <f t="shared" ca="1" si="66"/>
        <v>-6.0369751567511756</v>
      </c>
      <c r="E140" s="307">
        <f t="shared" ca="1" si="67"/>
        <v>-35.721373902409795</v>
      </c>
      <c r="F140" s="304">
        <f t="shared" ca="1" si="68"/>
        <v>36.227912202043804</v>
      </c>
      <c r="G140" s="306">
        <f t="shared" ca="1" si="69"/>
        <v>39.639826677792293</v>
      </c>
      <c r="H140" s="307">
        <f t="shared" ca="1" si="70"/>
        <v>170.04047831208052</v>
      </c>
      <c r="I140" s="304">
        <f t="shared" ca="1" si="71"/>
        <v>174.59977125886087</v>
      </c>
      <c r="J140" s="306">
        <f t="shared" ca="1" si="72"/>
        <v>156.28882502569311</v>
      </c>
      <c r="K140" s="307">
        <f t="shared" ca="1" si="73"/>
        <v>745.16439332701157</v>
      </c>
      <c r="L140" s="304">
        <f t="shared" ca="1" si="58"/>
        <v>761.37781022979971</v>
      </c>
      <c r="M140" s="306">
        <f t="shared" ca="1" si="74"/>
        <v>1.3417667749902009</v>
      </c>
      <c r="N140" s="304">
        <f t="shared" ca="1" si="75"/>
        <v>76.877573297818088</v>
      </c>
      <c r="P140" s="310">
        <f t="shared" ca="1" si="76"/>
        <v>13</v>
      </c>
      <c r="Q140" s="304">
        <f t="shared" ca="1" si="77"/>
        <v>0</v>
      </c>
      <c r="R140" s="306">
        <f t="shared" ca="1" si="78"/>
        <v>0</v>
      </c>
      <c r="S140" s="307">
        <f t="shared" ca="1" si="79"/>
        <v>2.6792999999999987</v>
      </c>
      <c r="T140" s="304">
        <f t="shared" ca="1" si="59"/>
        <v>26.283932999999987</v>
      </c>
      <c r="U140" s="311">
        <f t="shared" ca="1" si="60"/>
        <v>0</v>
      </c>
      <c r="V140" s="306">
        <f t="shared" ca="1" si="61"/>
        <v>1.1369962257692006</v>
      </c>
      <c r="W140" s="304">
        <f t="shared" ca="1" si="62"/>
        <v>70.977260560088908</v>
      </c>
      <c r="Y140" s="314" t="str">
        <f t="shared" ca="1" si="80"/>
        <v/>
      </c>
      <c r="Z140" s="315" t="str">
        <f t="shared" ca="1" si="81"/>
        <v/>
      </c>
      <c r="AA140" s="316" t="str">
        <f t="shared" ca="1" si="82"/>
        <v/>
      </c>
      <c r="AC140" s="310" t="e">
        <f t="shared" ca="1" si="83"/>
        <v>#N/A</v>
      </c>
      <c r="AD140" s="323" t="e">
        <f t="shared" ca="1" si="84"/>
        <v>#N/A</v>
      </c>
      <c r="AE140" s="324">
        <f t="shared" ca="1" si="63"/>
        <v>745.16439332701157</v>
      </c>
      <c r="AG140" s="306">
        <f t="shared" ca="1" si="85"/>
        <v>-36.159461770542734</v>
      </c>
      <c r="AH140" s="304">
        <f t="shared" ca="1" si="86"/>
        <v>-26.605344699020804</v>
      </c>
    </row>
    <row r="141" spans="1:34" x14ac:dyDescent="0.2">
      <c r="A141" s="347">
        <f t="shared" ca="1" si="64"/>
        <v>0.01</v>
      </c>
      <c r="B141" s="304">
        <f t="shared" ca="1" si="65"/>
        <v>4.569999999999971</v>
      </c>
      <c r="D141" s="306">
        <f t="shared" ca="1" si="66"/>
        <v>-6.0143121631260588</v>
      </c>
      <c r="E141" s="307">
        <f t="shared" ca="1" si="67"/>
        <v>-35.609217671884025</v>
      </c>
      <c r="F141" s="304">
        <f t="shared" ca="1" si="68"/>
        <v>36.113547790256547</v>
      </c>
      <c r="G141" s="306">
        <f t="shared" ca="1" si="69"/>
        <v>39.579683556161029</v>
      </c>
      <c r="H141" s="307">
        <f t="shared" ca="1" si="70"/>
        <v>169.68438613536168</v>
      </c>
      <c r="I141" s="304">
        <f t="shared" ca="1" si="71"/>
        <v>174.23932463293229</v>
      </c>
      <c r="J141" s="306">
        <f t="shared" ca="1" si="72"/>
        <v>156.68492257686287</v>
      </c>
      <c r="K141" s="307">
        <f t="shared" ca="1" si="73"/>
        <v>746.86301764924883</v>
      </c>
      <c r="L141" s="304">
        <f t="shared" ca="1" si="58"/>
        <v>763.12157098005014</v>
      </c>
      <c r="M141" s="306">
        <f t="shared" ca="1" si="74"/>
        <v>1.3416389514310445</v>
      </c>
      <c r="N141" s="304">
        <f t="shared" ca="1" si="75"/>
        <v>76.870249547356096</v>
      </c>
      <c r="P141" s="310">
        <f t="shared" ca="1" si="76"/>
        <v>13</v>
      </c>
      <c r="Q141" s="304">
        <f t="shared" ca="1" si="77"/>
        <v>0</v>
      </c>
      <c r="R141" s="306">
        <f t="shared" ca="1" si="78"/>
        <v>0</v>
      </c>
      <c r="S141" s="307">
        <f t="shared" ca="1" si="79"/>
        <v>2.6792999999999987</v>
      </c>
      <c r="T141" s="304">
        <f t="shared" ca="1" si="59"/>
        <v>26.283932999999987</v>
      </c>
      <c r="U141" s="311">
        <f t="shared" ca="1" si="60"/>
        <v>0</v>
      </c>
      <c r="V141" s="306">
        <f t="shared" ca="1" si="61"/>
        <v>1.1368028401843671</v>
      </c>
      <c r="W141" s="304">
        <f t="shared" ca="1" si="62"/>
        <v>70.672487466037154</v>
      </c>
      <c r="Y141" s="314" t="str">
        <f t="shared" ca="1" si="80"/>
        <v/>
      </c>
      <c r="Z141" s="315" t="str">
        <f t="shared" ca="1" si="81"/>
        <v/>
      </c>
      <c r="AA141" s="316" t="str">
        <f t="shared" ca="1" si="82"/>
        <v/>
      </c>
      <c r="AC141" s="310" t="e">
        <f t="shared" ca="1" si="83"/>
        <v>#N/A</v>
      </c>
      <c r="AD141" s="323" t="e">
        <f t="shared" ca="1" si="84"/>
        <v>#N/A</v>
      </c>
      <c r="AE141" s="324">
        <f t="shared" ca="1" si="63"/>
        <v>746.86301764924883</v>
      </c>
      <c r="AG141" s="306">
        <f t="shared" ca="1" si="85"/>
        <v>-36.044804936473916</v>
      </c>
      <c r="AH141" s="304">
        <f t="shared" ca="1" si="86"/>
        <v>-26.490971731455584</v>
      </c>
    </row>
    <row r="142" spans="1:34" x14ac:dyDescent="0.2">
      <c r="A142" s="347">
        <f t="shared" ca="1" si="64"/>
        <v>0.01</v>
      </c>
      <c r="B142" s="304">
        <f t="shared" ca="1" si="65"/>
        <v>4.5799999999999708</v>
      </c>
      <c r="D142" s="306">
        <f t="shared" ca="1" si="66"/>
        <v>-5.9917705216900918</v>
      </c>
      <c r="E142" s="307">
        <f t="shared" ca="1" si="67"/>
        <v>-35.497671337601588</v>
      </c>
      <c r="F142" s="304">
        <f t="shared" ca="1" si="68"/>
        <v>35.999805338042805</v>
      </c>
      <c r="G142" s="306">
        <f t="shared" ca="1" si="69"/>
        <v>39.519765850944125</v>
      </c>
      <c r="H142" s="307">
        <f t="shared" ca="1" si="70"/>
        <v>169.32940942198567</v>
      </c>
      <c r="I142" s="304">
        <f t="shared" ca="1" si="71"/>
        <v>173.8800183693109</v>
      </c>
      <c r="J142" s="306">
        <f t="shared" ca="1" si="72"/>
        <v>157.08041982389841</v>
      </c>
      <c r="K142" s="307">
        <f t="shared" ca="1" si="73"/>
        <v>748.55808662703555</v>
      </c>
      <c r="L142" s="304">
        <f t="shared" ca="1" si="58"/>
        <v>764.86173086825352</v>
      </c>
      <c r="M142" s="306">
        <f t="shared" ca="1" si="74"/>
        <v>1.3415107935052717</v>
      </c>
      <c r="N142" s="304">
        <f t="shared" ca="1" si="75"/>
        <v>76.862906639098156</v>
      </c>
      <c r="P142" s="310">
        <f t="shared" ca="1" si="76"/>
        <v>13</v>
      </c>
      <c r="Q142" s="304">
        <f t="shared" ca="1" si="77"/>
        <v>0</v>
      </c>
      <c r="R142" s="306">
        <f t="shared" ca="1" si="78"/>
        <v>0</v>
      </c>
      <c r="S142" s="307">
        <f t="shared" ca="1" si="79"/>
        <v>2.6792999999999987</v>
      </c>
      <c r="T142" s="304">
        <f t="shared" ca="1" si="59"/>
        <v>26.283932999999987</v>
      </c>
      <c r="U142" s="311">
        <f t="shared" ca="1" si="60"/>
        <v>0</v>
      </c>
      <c r="V142" s="306">
        <f t="shared" ca="1" si="61"/>
        <v>1.1366098909341429</v>
      </c>
      <c r="W142" s="304">
        <f t="shared" ca="1" si="62"/>
        <v>70.369368756594255</v>
      </c>
      <c r="Y142" s="314" t="str">
        <f t="shared" ca="1" si="80"/>
        <v/>
      </c>
      <c r="Z142" s="315" t="str">
        <f t="shared" ca="1" si="81"/>
        <v/>
      </c>
      <c r="AA142" s="316" t="str">
        <f t="shared" ca="1" si="82"/>
        <v/>
      </c>
      <c r="AC142" s="310" t="e">
        <f t="shared" ca="1" si="83"/>
        <v>#N/A</v>
      </c>
      <c r="AD142" s="323" t="e">
        <f t="shared" ca="1" si="84"/>
        <v>#N/A</v>
      </c>
      <c r="AE142" s="324">
        <f t="shared" ca="1" si="63"/>
        <v>748.55808662703555</v>
      </c>
      <c r="AG142" s="306">
        <f t="shared" ca="1" si="85"/>
        <v>-35.930769156356646</v>
      </c>
      <c r="AH142" s="304">
        <f t="shared" ca="1" si="86"/>
        <v>-26.377220716618965</v>
      </c>
    </row>
    <row r="143" spans="1:34" x14ac:dyDescent="0.2">
      <c r="A143" s="347">
        <f t="shared" ca="1" si="64"/>
        <v>0.01</v>
      </c>
      <c r="B143" s="304">
        <f t="shared" ca="1" si="65"/>
        <v>4.5899999999999705</v>
      </c>
      <c r="D143" s="306">
        <f t="shared" ca="1" si="66"/>
        <v>-5.9693493537154767</v>
      </c>
      <c r="E143" s="307">
        <f t="shared" ca="1" si="67"/>
        <v>-35.386730502668364</v>
      </c>
      <c r="F143" s="304">
        <f t="shared" ca="1" si="68"/>
        <v>35.886680361593534</v>
      </c>
      <c r="G143" s="306">
        <f t="shared" ca="1" si="69"/>
        <v>39.460072357406972</v>
      </c>
      <c r="H143" s="307">
        <f t="shared" ca="1" si="70"/>
        <v>168.97554211695899</v>
      </c>
      <c r="I143" s="304">
        <f t="shared" ca="1" si="71"/>
        <v>173.52184630233731</v>
      </c>
      <c r="J143" s="306">
        <f t="shared" ca="1" si="72"/>
        <v>157.47531901494017</v>
      </c>
      <c r="K143" s="307">
        <f t="shared" ca="1" si="73"/>
        <v>750.24961138473031</v>
      </c>
      <c r="L143" s="304">
        <f t="shared" ca="1" si="58"/>
        <v>766.59830125157202</v>
      </c>
      <c r="M143" s="306">
        <f t="shared" ca="1" si="74"/>
        <v>1.3413823004860377</v>
      </c>
      <c r="N143" s="304">
        <f t="shared" ca="1" si="75"/>
        <v>76.855544531399161</v>
      </c>
      <c r="P143" s="310">
        <f t="shared" ca="1" si="76"/>
        <v>13</v>
      </c>
      <c r="Q143" s="304">
        <f t="shared" ca="1" si="77"/>
        <v>0</v>
      </c>
      <c r="R143" s="306">
        <f t="shared" ca="1" si="78"/>
        <v>0</v>
      </c>
      <c r="S143" s="307">
        <f t="shared" ca="1" si="79"/>
        <v>2.6792999999999987</v>
      </c>
      <c r="T143" s="304">
        <f t="shared" ca="1" si="59"/>
        <v>26.283932999999987</v>
      </c>
      <c r="U143" s="311">
        <f t="shared" ca="1" si="60"/>
        <v>0</v>
      </c>
      <c r="V143" s="306">
        <f t="shared" ca="1" si="61"/>
        <v>1.136417376546444</v>
      </c>
      <c r="W143" s="304">
        <f t="shared" ca="1" si="62"/>
        <v>70.067892527312821</v>
      </c>
      <c r="Y143" s="314" t="str">
        <f t="shared" ca="1" si="80"/>
        <v/>
      </c>
      <c r="Z143" s="315" t="str">
        <f t="shared" ca="1" si="81"/>
        <v/>
      </c>
      <c r="AA143" s="316" t="str">
        <f t="shared" ca="1" si="82"/>
        <v/>
      </c>
      <c r="AC143" s="310" t="e">
        <f t="shared" ca="1" si="83"/>
        <v>#N/A</v>
      </c>
      <c r="AD143" s="323" t="e">
        <f t="shared" ca="1" si="84"/>
        <v>#N/A</v>
      </c>
      <c r="AE143" s="324">
        <f t="shared" ca="1" si="63"/>
        <v>750.24961138473031</v>
      </c>
      <c r="AG143" s="306">
        <f t="shared" ca="1" si="85"/>
        <v>-35.81734994359951</v>
      </c>
      <c r="AH143" s="304">
        <f t="shared" ca="1" si="86"/>
        <v>-26.264087170751424</v>
      </c>
    </row>
    <row r="144" spans="1:34" x14ac:dyDescent="0.2">
      <c r="A144" s="347">
        <f t="shared" ca="1" si="64"/>
        <v>0.01</v>
      </c>
      <c r="B144" s="304">
        <f t="shared" ca="1" si="65"/>
        <v>4.5999999999999703</v>
      </c>
      <c r="D144" s="306">
        <f t="shared" ca="1" si="66"/>
        <v>-5.9470477884353468</v>
      </c>
      <c r="E144" s="307">
        <f t="shared" ca="1" si="67"/>
        <v>-35.276390810043608</v>
      </c>
      <c r="F144" s="304">
        <f t="shared" ca="1" si="68"/>
        <v>35.774168417740519</v>
      </c>
      <c r="G144" s="306">
        <f t="shared" ca="1" si="69"/>
        <v>39.400601879522618</v>
      </c>
      <c r="H144" s="307">
        <f t="shared" ca="1" si="70"/>
        <v>168.62277820885856</v>
      </c>
      <c r="I144" s="304">
        <f t="shared" ca="1" si="71"/>
        <v>173.16480231081187</v>
      </c>
      <c r="J144" s="306">
        <f t="shared" ca="1" si="72"/>
        <v>157.8696223861248</v>
      </c>
      <c r="K144" s="307">
        <f t="shared" ca="1" si="73"/>
        <v>751.93760298635937</v>
      </c>
      <c r="L144" s="304">
        <f t="shared" ca="1" si="58"/>
        <v>768.33129342570021</v>
      </c>
      <c r="M144" s="306">
        <f t="shared" ca="1" si="74"/>
        <v>1.341253471643636</v>
      </c>
      <c r="N144" s="304">
        <f t="shared" ca="1" si="75"/>
        <v>76.84816318244998</v>
      </c>
      <c r="P144" s="310">
        <f t="shared" ca="1" si="76"/>
        <v>13</v>
      </c>
      <c r="Q144" s="304">
        <f t="shared" ca="1" si="77"/>
        <v>0</v>
      </c>
      <c r="R144" s="306">
        <f t="shared" ca="1" si="78"/>
        <v>0</v>
      </c>
      <c r="S144" s="307">
        <f t="shared" ca="1" si="79"/>
        <v>2.6792999999999987</v>
      </c>
      <c r="T144" s="304">
        <f t="shared" ca="1" si="59"/>
        <v>26.283932999999987</v>
      </c>
      <c r="U144" s="311">
        <f t="shared" ca="1" si="60"/>
        <v>0</v>
      </c>
      <c r="V144" s="306">
        <f t="shared" ca="1" si="61"/>
        <v>1.1362252955573908</v>
      </c>
      <c r="W144" s="304">
        <f t="shared" ca="1" si="62"/>
        <v>69.768046981449544</v>
      </c>
      <c r="Y144" s="314" t="str">
        <f t="shared" ca="1" si="80"/>
        <v/>
      </c>
      <c r="Z144" s="315" t="str">
        <f t="shared" ca="1" si="81"/>
        <v/>
      </c>
      <c r="AA144" s="316" t="str">
        <f t="shared" ca="1" si="82"/>
        <v/>
      </c>
      <c r="AC144" s="310" t="e">
        <f t="shared" ca="1" si="83"/>
        <v>#N/A</v>
      </c>
      <c r="AD144" s="323" t="e">
        <f t="shared" ca="1" si="84"/>
        <v>#N/A</v>
      </c>
      <c r="AE144" s="324">
        <f t="shared" ca="1" si="63"/>
        <v>751.93760298635937</v>
      </c>
      <c r="AG144" s="306">
        <f t="shared" ca="1" si="85"/>
        <v>-35.704542852239072</v>
      </c>
      <c r="AH144" s="304">
        <f t="shared" ca="1" si="86"/>
        <v>-26.151566650734466</v>
      </c>
    </row>
    <row r="145" spans="1:34" x14ac:dyDescent="0.2">
      <c r="A145" s="347">
        <f t="shared" ca="1" si="64"/>
        <v>0.01</v>
      </c>
      <c r="B145" s="304">
        <f t="shared" ca="1" si="65"/>
        <v>4.6099999999999701</v>
      </c>
      <c r="D145" s="306">
        <f t="shared" ca="1" si="66"/>
        <v>-5.9248649629570327</v>
      </c>
      <c r="E145" s="307">
        <f t="shared" ca="1" si="67"/>
        <v>-35.16664794210616</v>
      </c>
      <c r="F145" s="304">
        <f t="shared" ca="1" si="68"/>
        <v>35.662265103514038</v>
      </c>
      <c r="G145" s="306">
        <f t="shared" ca="1" si="69"/>
        <v>39.341353229893045</v>
      </c>
      <c r="H145" s="307">
        <f t="shared" ca="1" si="70"/>
        <v>168.27111172943751</v>
      </c>
      <c r="I145" s="304">
        <f t="shared" ca="1" si="71"/>
        <v>172.80888031759264</v>
      </c>
      <c r="J145" s="306">
        <f t="shared" ca="1" si="72"/>
        <v>158.26333216167188</v>
      </c>
      <c r="K145" s="307">
        <f t="shared" ca="1" si="73"/>
        <v>753.62207243605087</v>
      </c>
      <c r="L145" s="304">
        <f t="shared" ca="1" si="58"/>
        <v>770.06071862530689</v>
      </c>
      <c r="M145" s="306">
        <f t="shared" ca="1" si="74"/>
        <v>1.3411243062454845</v>
      </c>
      <c r="N145" s="304">
        <f t="shared" ca="1" si="75"/>
        <v>76.840762550276779</v>
      </c>
      <c r="P145" s="310">
        <f t="shared" ca="1" si="76"/>
        <v>13</v>
      </c>
      <c r="Q145" s="304">
        <f t="shared" ca="1" si="77"/>
        <v>0</v>
      </c>
      <c r="R145" s="306">
        <f t="shared" ca="1" si="78"/>
        <v>0</v>
      </c>
      <c r="S145" s="307">
        <f t="shared" ca="1" si="79"/>
        <v>2.6792999999999987</v>
      </c>
      <c r="T145" s="304">
        <f t="shared" ca="1" si="59"/>
        <v>26.283932999999987</v>
      </c>
      <c r="U145" s="311">
        <f t="shared" ca="1" si="60"/>
        <v>0</v>
      </c>
      <c r="V145" s="306">
        <f t="shared" ca="1" si="61"/>
        <v>1.1360336465112475</v>
      </c>
      <c r="W145" s="304">
        <f t="shared" ca="1" si="62"/>
        <v>69.469820428794932</v>
      </c>
      <c r="Y145" s="314" t="str">
        <f t="shared" ca="1" si="80"/>
        <v/>
      </c>
      <c r="Z145" s="315" t="str">
        <f t="shared" ca="1" si="81"/>
        <v/>
      </c>
      <c r="AA145" s="316" t="str">
        <f t="shared" ca="1" si="82"/>
        <v/>
      </c>
      <c r="AC145" s="310" t="e">
        <f t="shared" ca="1" si="83"/>
        <v>#N/A</v>
      </c>
      <c r="AD145" s="323" t="e">
        <f t="shared" ca="1" si="84"/>
        <v>#N/A</v>
      </c>
      <c r="AE145" s="324">
        <f t="shared" ca="1" si="63"/>
        <v>753.62207243605087</v>
      </c>
      <c r="AG145" s="306">
        <f t="shared" ca="1" si="85"/>
        <v>-35.592343476497376</v>
      </c>
      <c r="AH145" s="304">
        <f t="shared" ca="1" si="86"/>
        <v>-26.039654753648183</v>
      </c>
    </row>
    <row r="146" spans="1:34" x14ac:dyDescent="0.2">
      <c r="A146" s="347">
        <f t="shared" ca="1" si="64"/>
        <v>0.01</v>
      </c>
      <c r="B146" s="304">
        <f t="shared" ca="1" si="65"/>
        <v>4.6199999999999699</v>
      </c>
      <c r="D146" s="306">
        <f t="shared" ca="1" si="66"/>
        <v>-5.9028000221765673</v>
      </c>
      <c r="E146" s="307">
        <f t="shared" ca="1" si="67"/>
        <v>-35.057497620226101</v>
      </c>
      <c r="F146" s="304">
        <f t="shared" ca="1" si="68"/>
        <v>35.550966055706084</v>
      </c>
      <c r="G146" s="306">
        <f t="shared" ca="1" si="69"/>
        <v>39.282325229671279</v>
      </c>
      <c r="H146" s="307">
        <f t="shared" ca="1" si="70"/>
        <v>167.92053675323524</v>
      </c>
      <c r="I146" s="304">
        <f t="shared" ca="1" si="71"/>
        <v>172.45407428919822</v>
      </c>
      <c r="J146" s="306">
        <f t="shared" ca="1" si="72"/>
        <v>158.65645055396971</v>
      </c>
      <c r="K146" s="307">
        <f t="shared" ca="1" si="73"/>
        <v>755.30303067846421</v>
      </c>
      <c r="L146" s="304">
        <f t="shared" ca="1" si="58"/>
        <v>771.78658802447274</v>
      </c>
      <c r="M146" s="306">
        <f t="shared" ca="1" si="74"/>
        <v>1.340994803556117</v>
      </c>
      <c r="N146" s="304">
        <f t="shared" ca="1" si="75"/>
        <v>76.833342592740422</v>
      </c>
      <c r="P146" s="310">
        <f t="shared" ca="1" si="76"/>
        <v>13</v>
      </c>
      <c r="Q146" s="304">
        <f t="shared" ca="1" si="77"/>
        <v>0</v>
      </c>
      <c r="R146" s="306">
        <f t="shared" ca="1" si="78"/>
        <v>0</v>
      </c>
      <c r="S146" s="307">
        <f t="shared" ca="1" si="79"/>
        <v>2.6792999999999987</v>
      </c>
      <c r="T146" s="304">
        <f t="shared" ca="1" si="59"/>
        <v>26.283932999999987</v>
      </c>
      <c r="U146" s="311">
        <f t="shared" ca="1" si="60"/>
        <v>0</v>
      </c>
      <c r="V146" s="306">
        <f t="shared" ca="1" si="61"/>
        <v>1.1358424279603618</v>
      </c>
      <c r="W146" s="304">
        <f t="shared" ca="1" si="62"/>
        <v>69.173201284517972</v>
      </c>
      <c r="Y146" s="314" t="str">
        <f t="shared" ca="1" si="80"/>
        <v/>
      </c>
      <c r="Z146" s="315" t="str">
        <f t="shared" ca="1" si="81"/>
        <v/>
      </c>
      <c r="AA146" s="316" t="str">
        <f t="shared" ca="1" si="82"/>
        <v/>
      </c>
      <c r="AC146" s="310" t="e">
        <f t="shared" ca="1" si="83"/>
        <v>#N/A</v>
      </c>
      <c r="AD146" s="323" t="e">
        <f t="shared" ca="1" si="84"/>
        <v>#N/A</v>
      </c>
      <c r="AE146" s="324">
        <f t="shared" ca="1" si="63"/>
        <v>755.30303067846421</v>
      </c>
      <c r="AG146" s="306">
        <f t="shared" ca="1" si="85"/>
        <v>-35.480747450345149</v>
      </c>
      <c r="AH146" s="304">
        <f t="shared" ca="1" si="86"/>
        <v>-25.928347116334479</v>
      </c>
    </row>
    <row r="147" spans="1:34" x14ac:dyDescent="0.2">
      <c r="A147" s="347">
        <f t="shared" ca="1" si="64"/>
        <v>0.01</v>
      </c>
      <c r="B147" s="304">
        <f t="shared" ca="1" si="65"/>
        <v>4.6299999999999697</v>
      </c>
      <c r="D147" s="306">
        <f t="shared" ca="1" si="66"/>
        <v>-5.8808521186941425</v>
      </c>
      <c r="E147" s="307">
        <f t="shared" ca="1" si="67"/>
        <v>-34.948935604341905</v>
      </c>
      <c r="F147" s="304">
        <f t="shared" ca="1" si="68"/>
        <v>35.44026695043911</v>
      </c>
      <c r="G147" s="306">
        <f t="shared" ca="1" si="69"/>
        <v>39.22351670848434</v>
      </c>
      <c r="H147" s="307">
        <f t="shared" ca="1" si="70"/>
        <v>167.57104739719182</v>
      </c>
      <c r="I147" s="304">
        <f t="shared" ca="1" si="71"/>
        <v>172.1003782354143</v>
      </c>
      <c r="J147" s="306">
        <f t="shared" ca="1" si="72"/>
        <v>159.04897976366047</v>
      </c>
      <c r="K147" s="307">
        <f t="shared" ca="1" si="73"/>
        <v>756.9804885992163</v>
      </c>
      <c r="L147" s="304">
        <f t="shared" ca="1" si="58"/>
        <v>773.50891273712512</v>
      </c>
      <c r="M147" s="306">
        <f t="shared" ca="1" si="74"/>
        <v>1.3408649628371694</v>
      </c>
      <c r="N147" s="304">
        <f t="shared" ca="1" si="75"/>
        <v>76.825903267535779</v>
      </c>
      <c r="P147" s="310">
        <f t="shared" ca="1" si="76"/>
        <v>13</v>
      </c>
      <c r="Q147" s="304">
        <f t="shared" ca="1" si="77"/>
        <v>0</v>
      </c>
      <c r="R147" s="306">
        <f t="shared" ca="1" si="78"/>
        <v>0</v>
      </c>
      <c r="S147" s="307">
        <f t="shared" ca="1" si="79"/>
        <v>2.6792999999999987</v>
      </c>
      <c r="T147" s="304">
        <f t="shared" ca="1" si="59"/>
        <v>26.283932999999987</v>
      </c>
      <c r="U147" s="311">
        <f t="shared" ca="1" si="60"/>
        <v>0</v>
      </c>
      <c r="V147" s="306">
        <f t="shared" ca="1" si="61"/>
        <v>1.1356516384651072</v>
      </c>
      <c r="W147" s="304">
        <f t="shared" ca="1" si="62"/>
        <v>68.878178068025349</v>
      </c>
      <c r="Y147" s="314" t="str">
        <f t="shared" ca="1" si="80"/>
        <v/>
      </c>
      <c r="Z147" s="315" t="str">
        <f t="shared" ca="1" si="81"/>
        <v/>
      </c>
      <c r="AA147" s="316" t="str">
        <f t="shared" ca="1" si="82"/>
        <v/>
      </c>
      <c r="AC147" s="310" t="e">
        <f t="shared" ca="1" si="83"/>
        <v>#N/A</v>
      </c>
      <c r="AD147" s="323" t="e">
        <f t="shared" ca="1" si="84"/>
        <v>#N/A</v>
      </c>
      <c r="AE147" s="324">
        <f t="shared" ca="1" si="63"/>
        <v>756.9804885992163</v>
      </c>
      <c r="AG147" s="306">
        <f t="shared" ca="1" si="85"/>
        <v>-35.369750447070459</v>
      </c>
      <c r="AH147" s="304">
        <f t="shared" ca="1" si="86"/>
        <v>-25.817639414965853</v>
      </c>
    </row>
    <row r="148" spans="1:34" x14ac:dyDescent="0.2">
      <c r="A148" s="347">
        <f t="shared" ca="1" si="64"/>
        <v>0.01</v>
      </c>
      <c r="B148" s="304">
        <f t="shared" ca="1" si="65"/>
        <v>4.6399999999999695</v>
      </c>
      <c r="D148" s="306">
        <f t="shared" ca="1" si="66"/>
        <v>-5.8590204127307564</v>
      </c>
      <c r="E148" s="307">
        <f t="shared" ca="1" si="67"/>
        <v>-34.840957692542879</v>
      </c>
      <c r="F148" s="304">
        <f t="shared" ca="1" si="68"/>
        <v>35.330163502740241</v>
      </c>
      <c r="G148" s="306">
        <f t="shared" ca="1" si="69"/>
        <v>39.164926504357034</v>
      </c>
      <c r="H148" s="307">
        <f t="shared" ca="1" si="70"/>
        <v>167.22263782026639</v>
      </c>
      <c r="I148" s="304">
        <f t="shared" ca="1" si="71"/>
        <v>171.74778620890481</v>
      </c>
      <c r="J148" s="306">
        <f t="shared" ca="1" si="72"/>
        <v>159.44092197972466</v>
      </c>
      <c r="K148" s="307">
        <f t="shared" ca="1" si="73"/>
        <v>758.6544570253036</v>
      </c>
      <c r="L148" s="304">
        <f t="shared" ca="1" si="58"/>
        <v>775.22770381746739</v>
      </c>
      <c r="M148" s="306">
        <f t="shared" ca="1" si="74"/>
        <v>1.34073478334737</v>
      </c>
      <c r="N148" s="304">
        <f t="shared" ca="1" si="75"/>
        <v>76.818444532191108</v>
      </c>
      <c r="P148" s="310">
        <f t="shared" ca="1" si="76"/>
        <v>13</v>
      </c>
      <c r="Q148" s="304">
        <f t="shared" ca="1" si="77"/>
        <v>0</v>
      </c>
      <c r="R148" s="306">
        <f t="shared" ca="1" si="78"/>
        <v>0</v>
      </c>
      <c r="S148" s="307">
        <f t="shared" ca="1" si="79"/>
        <v>2.6792999999999987</v>
      </c>
      <c r="T148" s="304">
        <f t="shared" ca="1" si="59"/>
        <v>26.283932999999987</v>
      </c>
      <c r="U148" s="311">
        <f t="shared" ca="1" si="60"/>
        <v>0</v>
      </c>
      <c r="V148" s="306">
        <f t="shared" ca="1" si="61"/>
        <v>1.1354612765938232</v>
      </c>
      <c r="W148" s="304">
        <f t="shared" ca="1" si="62"/>
        <v>68.58473940183498</v>
      </c>
      <c r="Y148" s="314" t="str">
        <f t="shared" ca="1" si="80"/>
        <v/>
      </c>
      <c r="Z148" s="315" t="str">
        <f t="shared" ca="1" si="81"/>
        <v/>
      </c>
      <c r="AA148" s="316" t="str">
        <f t="shared" ca="1" si="82"/>
        <v/>
      </c>
      <c r="AC148" s="310" t="e">
        <f t="shared" ca="1" si="83"/>
        <v>#N/A</v>
      </c>
      <c r="AD148" s="323" t="e">
        <f t="shared" ca="1" si="84"/>
        <v>#N/A</v>
      </c>
      <c r="AE148" s="324">
        <f t="shared" ca="1" si="63"/>
        <v>758.6544570253036</v>
      </c>
      <c r="AG148" s="306">
        <f t="shared" ca="1" si="85"/>
        <v>-35.259348178852917</v>
      </c>
      <c r="AH148" s="304">
        <f t="shared" ca="1" si="86"/>
        <v>-25.707527364619633</v>
      </c>
    </row>
    <row r="149" spans="1:34" x14ac:dyDescent="0.2">
      <c r="A149" s="347">
        <f t="shared" ca="1" si="64"/>
        <v>0.01</v>
      </c>
      <c r="B149" s="304">
        <f t="shared" ca="1" si="65"/>
        <v>4.6499999999999693</v>
      </c>
      <c r="D149" s="306">
        <f t="shared" ca="1" si="66"/>
        <v>-5.8373040720458089</v>
      </c>
      <c r="E149" s="307">
        <f t="shared" ca="1" si="67"/>
        <v>-34.733559720656949</v>
      </c>
      <c r="F149" s="304">
        <f t="shared" ca="1" si="68"/>
        <v>35.220651466120913</v>
      </c>
      <c r="G149" s="306">
        <f t="shared" ca="1" si="69"/>
        <v>39.106553463636573</v>
      </c>
      <c r="H149" s="307">
        <f t="shared" ca="1" si="70"/>
        <v>166.8753022230598</v>
      </c>
      <c r="I149" s="304">
        <f t="shared" ca="1" si="71"/>
        <v>171.39629230482734</v>
      </c>
      <c r="J149" s="306">
        <f t="shared" ca="1" si="72"/>
        <v>159.83227937956462</v>
      </c>
      <c r="K149" s="307">
        <f t="shared" ca="1" si="73"/>
        <v>760.32494672552025</v>
      </c>
      <c r="L149" s="304">
        <f t="shared" ca="1" si="58"/>
        <v>776.94297226040499</v>
      </c>
      <c r="M149" s="306">
        <f t="shared" ca="1" si="74"/>
        <v>1.3406042643425273</v>
      </c>
      <c r="N149" s="304">
        <f t="shared" ca="1" si="75"/>
        <v>76.810966344067381</v>
      </c>
      <c r="P149" s="310">
        <f t="shared" ca="1" si="76"/>
        <v>13</v>
      </c>
      <c r="Q149" s="304">
        <f t="shared" ca="1" si="77"/>
        <v>0</v>
      </c>
      <c r="R149" s="306">
        <f t="shared" ca="1" si="78"/>
        <v>0</v>
      </c>
      <c r="S149" s="307">
        <f t="shared" ca="1" si="79"/>
        <v>2.6792999999999987</v>
      </c>
      <c r="T149" s="304">
        <f t="shared" ca="1" si="59"/>
        <v>26.283932999999987</v>
      </c>
      <c r="U149" s="311">
        <f t="shared" ca="1" si="60"/>
        <v>0</v>
      </c>
      <c r="V149" s="306">
        <f t="shared" ca="1" si="61"/>
        <v>1.1352713409227568</v>
      </c>
      <c r="W149" s="304">
        <f t="shared" ca="1" si="62"/>
        <v>68.292874010463962</v>
      </c>
      <c r="Y149" s="314" t="str">
        <f t="shared" ca="1" si="80"/>
        <v/>
      </c>
      <c r="Z149" s="315" t="str">
        <f t="shared" ca="1" si="81"/>
        <v/>
      </c>
      <c r="AA149" s="316" t="str">
        <f t="shared" ca="1" si="82"/>
        <v/>
      </c>
      <c r="AC149" s="310" t="e">
        <f t="shared" ca="1" si="83"/>
        <v>#N/A</v>
      </c>
      <c r="AD149" s="323" t="e">
        <f t="shared" ca="1" si="84"/>
        <v>#N/A</v>
      </c>
      <c r="AE149" s="324">
        <f t="shared" ca="1" si="63"/>
        <v>760.32494672552025</v>
      </c>
      <c r="AG149" s="306">
        <f t="shared" ca="1" si="85"/>
        <v>-35.14953639634318</v>
      </c>
      <c r="AH149" s="304">
        <f t="shared" ca="1" si="86"/>
        <v>-25.598006718857544</v>
      </c>
    </row>
    <row r="150" spans="1:34" x14ac:dyDescent="0.2">
      <c r="A150" s="347">
        <f t="shared" ca="1" si="64"/>
        <v>0.01</v>
      </c>
      <c r="B150" s="304">
        <f t="shared" ca="1" si="65"/>
        <v>4.6599999999999691</v>
      </c>
      <c r="D150" s="306">
        <f t="shared" ca="1" si="66"/>
        <v>-5.815702271855808</v>
      </c>
      <c r="E150" s="307">
        <f t="shared" ca="1" si="67"/>
        <v>-34.626737561843569</v>
      </c>
      <c r="F150" s="304">
        <f t="shared" ca="1" si="68"/>
        <v>35.111726632161755</v>
      </c>
      <c r="G150" s="306">
        <f t="shared" ca="1" si="69"/>
        <v>39.048396440918012</v>
      </c>
      <c r="H150" s="307">
        <f t="shared" ca="1" si="70"/>
        <v>166.52903484744138</v>
      </c>
      <c r="I150" s="304">
        <f t="shared" ca="1" si="71"/>
        <v>171.04589066045241</v>
      </c>
      <c r="J150" s="306">
        <f t="shared" ca="1" si="72"/>
        <v>160.22305412908739</v>
      </c>
      <c r="K150" s="307">
        <f t="shared" ca="1" si="73"/>
        <v>761.9919684108728</v>
      </c>
      <c r="L150" s="304">
        <f t="shared" ca="1" si="58"/>
        <v>778.65472900196858</v>
      </c>
      <c r="M150" s="306">
        <f t="shared" ca="1" si="74"/>
        <v>1.3404734050755192</v>
      </c>
      <c r="N150" s="304">
        <f t="shared" ca="1" si="75"/>
        <v>76.803468660357638</v>
      </c>
      <c r="P150" s="310">
        <f t="shared" ca="1" si="76"/>
        <v>13</v>
      </c>
      <c r="Q150" s="304">
        <f t="shared" ca="1" si="77"/>
        <v>0</v>
      </c>
      <c r="R150" s="306">
        <f t="shared" ca="1" si="78"/>
        <v>0</v>
      </c>
      <c r="S150" s="307">
        <f t="shared" ca="1" si="79"/>
        <v>2.6792999999999987</v>
      </c>
      <c r="T150" s="304">
        <f t="shared" ca="1" si="59"/>
        <v>26.283932999999987</v>
      </c>
      <c r="U150" s="311">
        <f t="shared" ca="1" si="60"/>
        <v>0</v>
      </c>
      <c r="V150" s="306">
        <f t="shared" ca="1" si="61"/>
        <v>1.1350818300360066</v>
      </c>
      <c r="W150" s="304">
        <f t="shared" ca="1" si="62"/>
        <v>68.002570719330365</v>
      </c>
      <c r="Y150" s="314" t="str">
        <f t="shared" ca="1" si="80"/>
        <v/>
      </c>
      <c r="Z150" s="315" t="str">
        <f t="shared" ca="1" si="81"/>
        <v/>
      </c>
      <c r="AA150" s="316" t="str">
        <f t="shared" ca="1" si="82"/>
        <v/>
      </c>
      <c r="AC150" s="310" t="e">
        <f t="shared" ca="1" si="83"/>
        <v>#N/A</v>
      </c>
      <c r="AD150" s="323" t="e">
        <f t="shared" ca="1" si="84"/>
        <v>#N/A</v>
      </c>
      <c r="AE150" s="324">
        <f t="shared" ca="1" si="63"/>
        <v>761.9919684108728</v>
      </c>
      <c r="AG150" s="306">
        <f t="shared" ca="1" si="85"/>
        <v>-35.040310888247802</v>
      </c>
      <c r="AH150" s="304">
        <f t="shared" ca="1" si="86"/>
        <v>-25.489073269310641</v>
      </c>
    </row>
    <row r="151" spans="1:34" x14ac:dyDescent="0.2">
      <c r="A151" s="347">
        <f t="shared" ca="1" si="64"/>
        <v>0.01</v>
      </c>
      <c r="B151" s="304">
        <f t="shared" ca="1" si="65"/>
        <v>4.6699999999999688</v>
      </c>
      <c r="D151" s="306">
        <f t="shared" ca="1" si="66"/>
        <v>-5.7942141947540655</v>
      </c>
      <c r="E151" s="307">
        <f t="shared" ca="1" si="67"/>
        <v>-34.520487126191831</v>
      </c>
      <c r="F151" s="304">
        <f t="shared" ca="1" si="68"/>
        <v>35.003384830102725</v>
      </c>
      <c r="G151" s="306">
        <f t="shared" ca="1" si="69"/>
        <v>38.990454298970469</v>
      </c>
      <c r="H151" s="307">
        <f t="shared" ca="1" si="70"/>
        <v>166.18382997617945</v>
      </c>
      <c r="I151" s="304">
        <f t="shared" ca="1" si="71"/>
        <v>170.69657545478711</v>
      </c>
      <c r="J151" s="306">
        <f t="shared" ca="1" si="72"/>
        <v>160.61324838278682</v>
      </c>
      <c r="K151" s="307">
        <f t="shared" ca="1" si="73"/>
        <v>763.65553273499086</v>
      </c>
      <c r="L151" s="304">
        <f t="shared" ca="1" si="58"/>
        <v>780.36298491973173</v>
      </c>
      <c r="M151" s="306">
        <f t="shared" ca="1" si="74"/>
        <v>1.3403422047962801</v>
      </c>
      <c r="N151" s="304">
        <f t="shared" ca="1" si="75"/>
        <v>76.795951438086291</v>
      </c>
      <c r="P151" s="310">
        <f t="shared" ca="1" si="76"/>
        <v>13</v>
      </c>
      <c r="Q151" s="304">
        <f t="shared" ca="1" si="77"/>
        <v>0</v>
      </c>
      <c r="R151" s="306">
        <f t="shared" ca="1" si="78"/>
        <v>0</v>
      </c>
      <c r="S151" s="307">
        <f t="shared" ca="1" si="79"/>
        <v>2.6792999999999987</v>
      </c>
      <c r="T151" s="304">
        <f t="shared" ca="1" si="59"/>
        <v>26.283932999999987</v>
      </c>
      <c r="U151" s="311">
        <f t="shared" ca="1" si="60"/>
        <v>0</v>
      </c>
      <c r="V151" s="306">
        <f t="shared" ca="1" si="61"/>
        <v>1.1348927425254638</v>
      </c>
      <c r="W151" s="304">
        <f t="shared" ca="1" si="62"/>
        <v>67.713818453668821</v>
      </c>
      <c r="Y151" s="314" t="str">
        <f t="shared" ca="1" si="80"/>
        <v/>
      </c>
      <c r="Z151" s="315" t="str">
        <f t="shared" ca="1" si="81"/>
        <v/>
      </c>
      <c r="AA151" s="316" t="str">
        <f t="shared" ca="1" si="82"/>
        <v/>
      </c>
      <c r="AC151" s="310" t="e">
        <f t="shared" ca="1" si="83"/>
        <v>#N/A</v>
      </c>
      <c r="AD151" s="323" t="e">
        <f t="shared" ca="1" si="84"/>
        <v>#N/A</v>
      </c>
      <c r="AE151" s="324">
        <f t="shared" ca="1" si="63"/>
        <v>763.65553273499086</v>
      </c>
      <c r="AG151" s="306">
        <f t="shared" ca="1" si="85"/>
        <v>-34.931667480919288</v>
      </c>
      <c r="AH151" s="304">
        <f t="shared" ca="1" si="86"/>
        <v>-25.380722845269435</v>
      </c>
    </row>
    <row r="152" spans="1:34" x14ac:dyDescent="0.2">
      <c r="A152" s="347">
        <f t="shared" ca="1" si="64"/>
        <v>0.01</v>
      </c>
      <c r="B152" s="304">
        <f t="shared" ca="1" si="65"/>
        <v>4.6799999999999686</v>
      </c>
      <c r="D152" s="306">
        <f t="shared" ca="1" si="66"/>
        <v>-5.7728390306314212</v>
      </c>
      <c r="E152" s="307">
        <f t="shared" ca="1" si="67"/>
        <v>-34.414804360323565</v>
      </c>
      <c r="F152" s="304">
        <f t="shared" ca="1" si="68"/>
        <v>34.895621926438388</v>
      </c>
      <c r="G152" s="306">
        <f t="shared" ca="1" si="69"/>
        <v>38.932725908664153</v>
      </c>
      <c r="H152" s="307">
        <f t="shared" ca="1" si="70"/>
        <v>165.83968193257621</v>
      </c>
      <c r="I152" s="304">
        <f t="shared" ca="1" si="71"/>
        <v>170.3483409082026</v>
      </c>
      <c r="J152" s="306">
        <f t="shared" ca="1" si="72"/>
        <v>161.00286428382501</v>
      </c>
      <c r="K152" s="307">
        <f t="shared" ca="1" si="73"/>
        <v>765.31565029453463</v>
      </c>
      <c r="L152" s="304">
        <f t="shared" ca="1" si="58"/>
        <v>782.06775083322691</v>
      </c>
      <c r="M152" s="306">
        <f t="shared" ca="1" si="74"/>
        <v>1.3402106627517905</v>
      </c>
      <c r="N152" s="304">
        <f t="shared" ca="1" si="75"/>
        <v>76.78841463410852</v>
      </c>
      <c r="P152" s="310">
        <f t="shared" ca="1" si="76"/>
        <v>13</v>
      </c>
      <c r="Q152" s="304">
        <f t="shared" ca="1" si="77"/>
        <v>0</v>
      </c>
      <c r="R152" s="306">
        <f t="shared" ca="1" si="78"/>
        <v>0</v>
      </c>
      <c r="S152" s="307">
        <f t="shared" ca="1" si="79"/>
        <v>2.6792999999999987</v>
      </c>
      <c r="T152" s="304">
        <f t="shared" ca="1" si="59"/>
        <v>26.283932999999987</v>
      </c>
      <c r="U152" s="311">
        <f t="shared" ca="1" si="60"/>
        <v>0</v>
      </c>
      <c r="V152" s="306">
        <f t="shared" ca="1" si="61"/>
        <v>1.1347040769907577</v>
      </c>
      <c r="W152" s="304">
        <f t="shared" ca="1" si="62"/>
        <v>67.426606237459893</v>
      </c>
      <c r="Y152" s="314" t="str">
        <f t="shared" ca="1" si="80"/>
        <v/>
      </c>
      <c r="Z152" s="315" t="str">
        <f t="shared" ca="1" si="81"/>
        <v/>
      </c>
      <c r="AA152" s="316" t="str">
        <f t="shared" ca="1" si="82"/>
        <v/>
      </c>
      <c r="AC152" s="310" t="e">
        <f t="shared" ca="1" si="83"/>
        <v>#N/A</v>
      </c>
      <c r="AD152" s="323" t="e">
        <f t="shared" ca="1" si="84"/>
        <v>#N/A</v>
      </c>
      <c r="AE152" s="324">
        <f t="shared" ca="1" si="63"/>
        <v>765.31565029453463</v>
      </c>
      <c r="AG152" s="306">
        <f t="shared" ca="1" si="85"/>
        <v>-34.823602037951332</v>
      </c>
      <c r="AH152" s="304">
        <f t="shared" ca="1" si="86"/>
        <v>-25.272951313279162</v>
      </c>
    </row>
    <row r="153" spans="1:34" x14ac:dyDescent="0.2">
      <c r="A153" s="347">
        <f t="shared" ca="1" si="64"/>
        <v>0.01</v>
      </c>
      <c r="B153" s="304">
        <f t="shared" ca="1" si="65"/>
        <v>4.6899999999999684</v>
      </c>
      <c r="D153" s="306">
        <f t="shared" ca="1" si="66"/>
        <v>-5.7515759765979491</v>
      </c>
      <c r="E153" s="307">
        <f t="shared" ca="1" si="67"/>
        <v>-34.30968524700144</v>
      </c>
      <c r="F153" s="304">
        <f t="shared" ca="1" si="68"/>
        <v>34.788433824518272</v>
      </c>
      <c r="G153" s="306">
        <f t="shared" ca="1" si="69"/>
        <v>38.875210148898176</v>
      </c>
      <c r="H153" s="307">
        <f t="shared" ca="1" si="70"/>
        <v>165.4965850801062</v>
      </c>
      <c r="I153" s="304">
        <f t="shared" ca="1" si="71"/>
        <v>170.00118128206589</v>
      </c>
      <c r="J153" s="306">
        <f t="shared" ca="1" si="72"/>
        <v>161.39190396411283</v>
      </c>
      <c r="K153" s="307">
        <f t="shared" ca="1" si="73"/>
        <v>766.9723316295981</v>
      </c>
      <c r="L153" s="304">
        <f t="shared" ca="1" si="58"/>
        <v>783.76903750435542</v>
      </c>
      <c r="M153" s="306">
        <f t="shared" ca="1" si="74"/>
        <v>1.3400787781860655</v>
      </c>
      <c r="N153" s="304">
        <f t="shared" ca="1" si="75"/>
        <v>76.780858205109567</v>
      </c>
      <c r="P153" s="310">
        <f t="shared" ca="1" si="76"/>
        <v>13</v>
      </c>
      <c r="Q153" s="304">
        <f t="shared" ca="1" si="77"/>
        <v>0</v>
      </c>
      <c r="R153" s="306">
        <f t="shared" ca="1" si="78"/>
        <v>0</v>
      </c>
      <c r="S153" s="307">
        <f t="shared" ca="1" si="79"/>
        <v>2.6792999999999987</v>
      </c>
      <c r="T153" s="304">
        <f t="shared" ca="1" si="59"/>
        <v>26.283932999999987</v>
      </c>
      <c r="U153" s="311">
        <f t="shared" ca="1" si="60"/>
        <v>0</v>
      </c>
      <c r="V153" s="306">
        <f t="shared" ca="1" si="61"/>
        <v>1.1345158320391975</v>
      </c>
      <c r="W153" s="304">
        <f t="shared" ca="1" si="62"/>
        <v>67.140923192372682</v>
      </c>
      <c r="Y153" s="314" t="str">
        <f t="shared" ca="1" si="80"/>
        <v/>
      </c>
      <c r="Z153" s="315" t="str">
        <f t="shared" ca="1" si="81"/>
        <v/>
      </c>
      <c r="AA153" s="316" t="str">
        <f t="shared" ca="1" si="82"/>
        <v/>
      </c>
      <c r="AC153" s="310" t="e">
        <f t="shared" ca="1" si="83"/>
        <v>#N/A</v>
      </c>
      <c r="AD153" s="323" t="e">
        <f t="shared" ca="1" si="84"/>
        <v>#N/A</v>
      </c>
      <c r="AE153" s="324">
        <f t="shared" ca="1" si="63"/>
        <v>766.9723316295981</v>
      </c>
      <c r="AG153" s="306">
        <f t="shared" ca="1" si="85"/>
        <v>-34.716110459779088</v>
      </c>
      <c r="AH153" s="304">
        <f t="shared" ca="1" si="86"/>
        <v>-25.165754576740166</v>
      </c>
    </row>
    <row r="154" spans="1:34" x14ac:dyDescent="0.2">
      <c r="A154" s="347">
        <f t="shared" ca="1" si="64"/>
        <v>0.01</v>
      </c>
      <c r="B154" s="304">
        <f t="shared" ca="1" si="65"/>
        <v>4.6999999999999682</v>
      </c>
      <c r="D154" s="306">
        <f t="shared" ca="1" si="66"/>
        <v>-5.7304242369056277</v>
      </c>
      <c r="E154" s="307">
        <f t="shared" ca="1" si="67"/>
        <v>-34.205125804742032</v>
      </c>
      <c r="F154" s="304">
        <f t="shared" ca="1" si="68"/>
        <v>34.681816464152284</v>
      </c>
      <c r="G154" s="306">
        <f t="shared" ca="1" si="69"/>
        <v>38.81790590652912</v>
      </c>
      <c r="H154" s="307">
        <f t="shared" ca="1" si="70"/>
        <v>165.15453382205877</v>
      </c>
      <c r="I154" s="304">
        <f t="shared" ca="1" si="71"/>
        <v>169.65509087837506</v>
      </c>
      <c r="J154" s="306">
        <f t="shared" ca="1" si="72"/>
        <v>161.78036954438997</v>
      </c>
      <c r="K154" s="307">
        <f t="shared" ca="1" si="73"/>
        <v>768.62558722410893</v>
      </c>
      <c r="L154" s="304">
        <f t="shared" ca="1" si="58"/>
        <v>785.46685563779556</v>
      </c>
      <c r="M154" s="306">
        <f t="shared" ca="1" si="74"/>
        <v>1.3399465503401415</v>
      </c>
      <c r="N154" s="304">
        <f t="shared" ca="1" si="75"/>
        <v>76.773282107604018</v>
      </c>
      <c r="P154" s="310">
        <f t="shared" ca="1" si="76"/>
        <v>13</v>
      </c>
      <c r="Q154" s="304">
        <f t="shared" ca="1" si="77"/>
        <v>0</v>
      </c>
      <c r="R154" s="306">
        <f t="shared" ca="1" si="78"/>
        <v>0</v>
      </c>
      <c r="S154" s="307">
        <f t="shared" ca="1" si="79"/>
        <v>2.6792999999999987</v>
      </c>
      <c r="T154" s="304">
        <f t="shared" ca="1" si="59"/>
        <v>26.283932999999987</v>
      </c>
      <c r="U154" s="311">
        <f t="shared" ca="1" si="60"/>
        <v>0</v>
      </c>
      <c r="V154" s="306">
        <f t="shared" ca="1" si="61"/>
        <v>1.1343280062857177</v>
      </c>
      <c r="W154" s="304">
        <f t="shared" ca="1" si="62"/>
        <v>66.856758536720506</v>
      </c>
      <c r="Y154" s="314" t="str">
        <f t="shared" ca="1" si="80"/>
        <v/>
      </c>
      <c r="Z154" s="315" t="str">
        <f t="shared" ca="1" si="81"/>
        <v/>
      </c>
      <c r="AA154" s="316" t="str">
        <f t="shared" ca="1" si="82"/>
        <v>Satellite</v>
      </c>
      <c r="AC154" s="310" t="e">
        <f t="shared" ca="1" si="83"/>
        <v>#N/A</v>
      </c>
      <c r="AD154" s="323" t="e">
        <f t="shared" ca="1" si="84"/>
        <v>#N/A</v>
      </c>
      <c r="AE154" s="324">
        <f t="shared" ca="1" si="63"/>
        <v>768.62558722410893</v>
      </c>
      <c r="AG154" s="306">
        <f t="shared" ca="1" si="85"/>
        <v>-34.609188683284501</v>
      </c>
      <c r="AH154" s="304">
        <f t="shared" ca="1" si="86"/>
        <v>-25.059128575513274</v>
      </c>
    </row>
    <row r="155" spans="1:34" x14ac:dyDescent="0.2">
      <c r="A155" s="347">
        <f t="shared" ca="1" si="64"/>
        <v>0.01</v>
      </c>
      <c r="B155" s="304">
        <f t="shared" ca="1" si="65"/>
        <v>4.709999999999968</v>
      </c>
      <c r="D155" s="306">
        <f t="shared" ca="1" si="66"/>
        <v>-5.7093830228720241</v>
      </c>
      <c r="E155" s="307">
        <f t="shared" ca="1" si="67"/>
        <v>-34.101122087433538</v>
      </c>
      <c r="F155" s="304">
        <f t="shared" ca="1" si="68"/>
        <v>34.575765821220891</v>
      </c>
      <c r="G155" s="306">
        <f t="shared" ca="1" si="69"/>
        <v>38.760812076300397</v>
      </c>
      <c r="H155" s="307">
        <f t="shared" ca="1" si="70"/>
        <v>164.81352260118445</v>
      </c>
      <c r="I155" s="304">
        <f t="shared" ca="1" si="71"/>
        <v>169.31006403939907</v>
      </c>
      <c r="J155" s="306">
        <f t="shared" ca="1" si="72"/>
        <v>162.16826313430411</v>
      </c>
      <c r="K155" s="307">
        <f t="shared" ca="1" si="73"/>
        <v>770.27542750622513</v>
      </c>
      <c r="L155" s="304">
        <f t="shared" ca="1" si="58"/>
        <v>787.16121588140686</v>
      </c>
      <c r="M155" s="306">
        <f t="shared" ca="1" si="74"/>
        <v>1.3398139784520662</v>
      </c>
      <c r="N155" s="304">
        <f t="shared" ca="1" si="75"/>
        <v>76.765686297935218</v>
      </c>
      <c r="P155" s="310">
        <f t="shared" ca="1" si="76"/>
        <v>13</v>
      </c>
      <c r="Q155" s="304">
        <f t="shared" ca="1" si="77"/>
        <v>0</v>
      </c>
      <c r="R155" s="306">
        <f t="shared" ca="1" si="78"/>
        <v>0</v>
      </c>
      <c r="S155" s="307">
        <f t="shared" ca="1" si="79"/>
        <v>2.6792999999999987</v>
      </c>
      <c r="T155" s="304">
        <f t="shared" ca="1" si="59"/>
        <v>26.283932999999987</v>
      </c>
      <c r="U155" s="311">
        <f t="shared" ca="1" si="60"/>
        <v>0</v>
      </c>
      <c r="V155" s="306">
        <f t="shared" ca="1" si="61"/>
        <v>1.1341405983528245</v>
      </c>
      <c r="W155" s="304">
        <f t="shared" ca="1" si="62"/>
        <v>66.57410158443021</v>
      </c>
      <c r="Y155" s="314" t="str">
        <f t="shared" ca="1" si="80"/>
        <v/>
      </c>
      <c r="Z155" s="315" t="str">
        <f t="shared" ca="1" si="81"/>
        <v/>
      </c>
      <c r="AA155" s="316" t="str">
        <f t="shared" ca="1" si="82"/>
        <v/>
      </c>
      <c r="AC155" s="310" t="e">
        <f t="shared" ca="1" si="83"/>
        <v>#N/A</v>
      </c>
      <c r="AD155" s="323" t="e">
        <f t="shared" ca="1" si="84"/>
        <v>#N/A</v>
      </c>
      <c r="AE155" s="324">
        <f t="shared" ca="1" si="63"/>
        <v>770.27542750622513</v>
      </c>
      <c r="AG155" s="306">
        <f t="shared" ca="1" si="85"/>
        <v>-34.502832681406439</v>
      </c>
      <c r="AH155" s="304">
        <f t="shared" ca="1" si="86"/>
        <v>-24.953069285530002</v>
      </c>
    </row>
    <row r="156" spans="1:34" x14ac:dyDescent="0.2">
      <c r="A156" s="347">
        <f t="shared" ca="1" si="64"/>
        <v>0.01</v>
      </c>
      <c r="B156" s="304">
        <f t="shared" ca="1" si="65"/>
        <v>4.7199999999999678</v>
      </c>
      <c r="D156" s="306">
        <f t="shared" ca="1" si="66"/>
        <v>-5.6884515528048967</v>
      </c>
      <c r="E156" s="307">
        <f t="shared" ca="1" si="67"/>
        <v>-33.99767018395859</v>
      </c>
      <c r="F156" s="304">
        <f t="shared" ca="1" si="68"/>
        <v>34.470277907290438</v>
      </c>
      <c r="G156" s="306">
        <f t="shared" ca="1" si="69"/>
        <v>38.70392756077235</v>
      </c>
      <c r="H156" s="307">
        <f t="shared" ca="1" si="70"/>
        <v>164.47354589934486</v>
      </c>
      <c r="I156" s="304">
        <f t="shared" ca="1" si="71"/>
        <v>168.96609514732066</v>
      </c>
      <c r="J156" s="306">
        <f t="shared" ca="1" si="72"/>
        <v>162.55558683248947</v>
      </c>
      <c r="K156" s="307">
        <f t="shared" ca="1" si="73"/>
        <v>771.92186284872776</v>
      </c>
      <c r="L156" s="304">
        <f t="shared" ca="1" si="58"/>
        <v>788.85212882662938</v>
      </c>
      <c r="M156" s="306">
        <f t="shared" ca="1" si="74"/>
        <v>1.3396810617568851</v>
      </c>
      <c r="N156" s="304">
        <f t="shared" ca="1" si="75"/>
        <v>76.758070732274504</v>
      </c>
      <c r="P156" s="310">
        <f t="shared" ca="1" si="76"/>
        <v>13</v>
      </c>
      <c r="Q156" s="304">
        <f t="shared" ca="1" si="77"/>
        <v>0</v>
      </c>
      <c r="R156" s="306">
        <f t="shared" ca="1" si="78"/>
        <v>0</v>
      </c>
      <c r="S156" s="307">
        <f t="shared" ca="1" si="79"/>
        <v>2.6792999999999987</v>
      </c>
      <c r="T156" s="304">
        <f t="shared" ca="1" si="59"/>
        <v>26.283932999999987</v>
      </c>
      <c r="U156" s="311">
        <f t="shared" ca="1" si="60"/>
        <v>0</v>
      </c>
      <c r="V156" s="306">
        <f t="shared" ca="1" si="61"/>
        <v>1.1339536068705385</v>
      </c>
      <c r="W156" s="304">
        <f t="shared" ca="1" si="62"/>
        <v>66.292941744023395</v>
      </c>
      <c r="Y156" s="314" t="str">
        <f t="shared" ca="1" si="80"/>
        <v/>
      </c>
      <c r="Z156" s="315" t="str">
        <f t="shared" ca="1" si="81"/>
        <v/>
      </c>
      <c r="AA156" s="316" t="str">
        <f t="shared" ca="1" si="82"/>
        <v/>
      </c>
      <c r="AC156" s="310" t="e">
        <f t="shared" ca="1" si="83"/>
        <v>#N/A</v>
      </c>
      <c r="AD156" s="323" t="e">
        <f t="shared" ca="1" si="84"/>
        <v>#N/A</v>
      </c>
      <c r="AE156" s="324">
        <f t="shared" ca="1" si="63"/>
        <v>771.92186284872776</v>
      </c>
      <c r="AG156" s="306">
        <f t="shared" ca="1" si="85"/>
        <v>-34.397038462755951</v>
      </c>
      <c r="AH156" s="304">
        <f t="shared" ca="1" si="86"/>
        <v>-24.847572718407882</v>
      </c>
    </row>
    <row r="157" spans="1:34" x14ac:dyDescent="0.2">
      <c r="A157" s="347">
        <f t="shared" ca="1" si="64"/>
        <v>0.01</v>
      </c>
      <c r="B157" s="304">
        <f t="shared" ca="1" si="65"/>
        <v>4.7299999999999676</v>
      </c>
      <c r="D157" s="306">
        <f t="shared" ca="1" si="66"/>
        <v>-5.6676290519277224</v>
      </c>
      <c r="E157" s="307">
        <f t="shared" ca="1" si="67"/>
        <v>-33.894766217821342</v>
      </c>
      <c r="F157" s="304">
        <f t="shared" ca="1" si="68"/>
        <v>34.365348769232916</v>
      </c>
      <c r="G157" s="306">
        <f t="shared" ca="1" si="69"/>
        <v>38.647251270253072</v>
      </c>
      <c r="H157" s="307">
        <f t="shared" ca="1" si="70"/>
        <v>164.13459823716664</v>
      </c>
      <c r="I157" s="304">
        <f t="shared" ca="1" si="71"/>
        <v>168.62317862388369</v>
      </c>
      <c r="J157" s="306">
        <f t="shared" ca="1" si="72"/>
        <v>162.9423427266446</v>
      </c>
      <c r="K157" s="307">
        <f t="shared" ca="1" si="73"/>
        <v>773.56490356941026</v>
      </c>
      <c r="L157" s="304">
        <f t="shared" ca="1" si="58"/>
        <v>790.53960500888149</v>
      </c>
      <c r="M157" s="306">
        <f t="shared" ca="1" si="74"/>
        <v>1.3395477994866312</v>
      </c>
      <c r="N157" s="304">
        <f t="shared" ca="1" si="75"/>
        <v>76.750435366620636</v>
      </c>
      <c r="P157" s="310">
        <f t="shared" ca="1" si="76"/>
        <v>13</v>
      </c>
      <c r="Q157" s="304">
        <f t="shared" ca="1" si="77"/>
        <v>0</v>
      </c>
      <c r="R157" s="306">
        <f t="shared" ca="1" si="78"/>
        <v>0</v>
      </c>
      <c r="S157" s="307">
        <f t="shared" ca="1" si="79"/>
        <v>2.6792999999999987</v>
      </c>
      <c r="T157" s="304">
        <f t="shared" ca="1" si="59"/>
        <v>26.283932999999987</v>
      </c>
      <c r="U157" s="311">
        <f t="shared" ca="1" si="60"/>
        <v>0</v>
      </c>
      <c r="V157" s="306">
        <f t="shared" ca="1" si="61"/>
        <v>1.1337670304763432</v>
      </c>
      <c r="W157" s="304">
        <f t="shared" ca="1" si="62"/>
        <v>66.013268517611252</v>
      </c>
      <c r="Y157" s="314" t="str">
        <f t="shared" ca="1" si="80"/>
        <v/>
      </c>
      <c r="Z157" s="315" t="str">
        <f t="shared" ca="1" si="81"/>
        <v/>
      </c>
      <c r="AA157" s="316" t="str">
        <f t="shared" ca="1" si="82"/>
        <v/>
      </c>
      <c r="AC157" s="310" t="e">
        <f t="shared" ca="1" si="83"/>
        <v>#N/A</v>
      </c>
      <c r="AD157" s="323" t="e">
        <f t="shared" ca="1" si="84"/>
        <v>#N/A</v>
      </c>
      <c r="AE157" s="324">
        <f t="shared" ca="1" si="63"/>
        <v>773.56490356941026</v>
      </c>
      <c r="AG157" s="306">
        <f t="shared" ca="1" si="85"/>
        <v>-34.291802071235956</v>
      </c>
      <c r="AH157" s="304">
        <f t="shared" ca="1" si="86"/>
        <v>-24.742634921070216</v>
      </c>
    </row>
    <row r="158" spans="1:34" x14ac:dyDescent="0.2">
      <c r="A158" s="347">
        <f t="shared" ca="1" si="64"/>
        <v>0.01</v>
      </c>
      <c r="B158" s="304">
        <f t="shared" ca="1" si="65"/>
        <v>4.7399999999999674</v>
      </c>
      <c r="D158" s="306">
        <f t="shared" ca="1" si="66"/>
        <v>-5.6469147523061816</v>
      </c>
      <c r="E158" s="307">
        <f t="shared" ca="1" si="67"/>
        <v>-33.792406346779622</v>
      </c>
      <c r="F158" s="304">
        <f t="shared" ca="1" si="68"/>
        <v>34.260974488850792</v>
      </c>
      <c r="G158" s="306">
        <f t="shared" ca="1" si="69"/>
        <v>38.590782122730012</v>
      </c>
      <c r="H158" s="307">
        <f t="shared" ca="1" si="70"/>
        <v>163.79667417369885</v>
      </c>
      <c r="I158" s="304">
        <f t="shared" ca="1" si="71"/>
        <v>168.28130893004393</v>
      </c>
      <c r="J158" s="306">
        <f t="shared" ca="1" si="72"/>
        <v>163.32853289360952</v>
      </c>
      <c r="K158" s="307">
        <f t="shared" ca="1" si="73"/>
        <v>775.20455993146459</v>
      </c>
      <c r="L158" s="304">
        <f t="shared" ca="1" si="58"/>
        <v>792.22365490795244</v>
      </c>
      <c r="M158" s="306">
        <f t="shared" ca="1" si="74"/>
        <v>1.3394141908703117</v>
      </c>
      <c r="N158" s="304">
        <f t="shared" ca="1" si="75"/>
        <v>76.742780156798943</v>
      </c>
      <c r="P158" s="310">
        <f t="shared" ca="1" si="76"/>
        <v>13</v>
      </c>
      <c r="Q158" s="304">
        <f t="shared" ca="1" si="77"/>
        <v>0</v>
      </c>
      <c r="R158" s="306">
        <f t="shared" ca="1" si="78"/>
        <v>0</v>
      </c>
      <c r="S158" s="307">
        <f t="shared" ca="1" si="79"/>
        <v>2.6792999999999987</v>
      </c>
      <c r="T158" s="304">
        <f t="shared" ca="1" si="59"/>
        <v>26.283932999999987</v>
      </c>
      <c r="U158" s="311">
        <f t="shared" ca="1" si="60"/>
        <v>0</v>
      </c>
      <c r="V158" s="306">
        <f t="shared" ca="1" si="61"/>
        <v>1.13358086781513</v>
      </c>
      <c r="W158" s="304">
        <f t="shared" ca="1" si="62"/>
        <v>65.735071499901196</v>
      </c>
      <c r="Y158" s="314" t="str">
        <f t="shared" ca="1" si="80"/>
        <v/>
      </c>
      <c r="Z158" s="315" t="str">
        <f t="shared" ca="1" si="81"/>
        <v/>
      </c>
      <c r="AA158" s="316" t="str">
        <f t="shared" ca="1" si="82"/>
        <v/>
      </c>
      <c r="AC158" s="310" t="e">
        <f t="shared" ca="1" si="83"/>
        <v>#N/A</v>
      </c>
      <c r="AD158" s="323" t="e">
        <f t="shared" ca="1" si="84"/>
        <v>#N/A</v>
      </c>
      <c r="AE158" s="324">
        <f t="shared" ca="1" si="63"/>
        <v>775.20455993146459</v>
      </c>
      <c r="AG158" s="306">
        <f t="shared" ca="1" si="85"/>
        <v>-34.187119585665997</v>
      </c>
      <c r="AH158" s="304">
        <f t="shared" ca="1" si="86"/>
        <v>-24.638251975370913</v>
      </c>
    </row>
    <row r="159" spans="1:34" x14ac:dyDescent="0.2">
      <c r="A159" s="347">
        <f t="shared" ca="1" si="64"/>
        <v>0.01</v>
      </c>
      <c r="B159" s="304">
        <f t="shared" ca="1" si="65"/>
        <v>4.7499999999999671</v>
      </c>
      <c r="D159" s="306">
        <f t="shared" ca="1" si="66"/>
        <v>-5.6263078927755519</v>
      </c>
      <c r="E159" s="307">
        <f t="shared" ca="1" si="67"/>
        <v>-33.690586762481324</v>
      </c>
      <c r="F159" s="304">
        <f t="shared" ca="1" si="68"/>
        <v>34.157151182506283</v>
      </c>
      <c r="G159" s="306">
        <f t="shared" ca="1" si="69"/>
        <v>38.534519043802256</v>
      </c>
      <c r="H159" s="307">
        <f t="shared" ca="1" si="70"/>
        <v>163.45976830607404</v>
      </c>
      <c r="I159" s="304">
        <f t="shared" ca="1" si="71"/>
        <v>167.94048056562352</v>
      </c>
      <c r="J159" s="306">
        <f t="shared" ca="1" si="72"/>
        <v>163.71415939944217</v>
      </c>
      <c r="K159" s="307">
        <f t="shared" ca="1" si="73"/>
        <v>776.84084214386348</v>
      </c>
      <c r="L159" s="304">
        <f t="shared" ca="1" si="58"/>
        <v>793.90428894839272</v>
      </c>
      <c r="M159" s="306">
        <f t="shared" ca="1" si="74"/>
        <v>1.3392802351338962</v>
      </c>
      <c r="N159" s="304">
        <f t="shared" ca="1" si="75"/>
        <v>76.735105058460761</v>
      </c>
      <c r="P159" s="310">
        <f t="shared" ca="1" si="76"/>
        <v>13</v>
      </c>
      <c r="Q159" s="304">
        <f t="shared" ca="1" si="77"/>
        <v>0</v>
      </c>
      <c r="R159" s="306">
        <f t="shared" ca="1" si="78"/>
        <v>0</v>
      </c>
      <c r="S159" s="307">
        <f t="shared" ca="1" si="79"/>
        <v>2.6792999999999987</v>
      </c>
      <c r="T159" s="304">
        <f t="shared" ca="1" si="59"/>
        <v>26.283932999999987</v>
      </c>
      <c r="U159" s="311">
        <f t="shared" ca="1" si="60"/>
        <v>0</v>
      </c>
      <c r="V159" s="306">
        <f t="shared" ca="1" si="61"/>
        <v>1.1333951175391455</v>
      </c>
      <c r="W159" s="304">
        <f t="shared" ca="1" si="62"/>
        <v>65.458340377216089</v>
      </c>
      <c r="Y159" s="314" t="str">
        <f t="shared" ca="1" si="80"/>
        <v/>
      </c>
      <c r="Z159" s="315" t="str">
        <f t="shared" ca="1" si="81"/>
        <v/>
      </c>
      <c r="AA159" s="316" t="str">
        <f t="shared" ca="1" si="82"/>
        <v/>
      </c>
      <c r="AC159" s="310" t="e">
        <f t="shared" ca="1" si="83"/>
        <v>#N/A</v>
      </c>
      <c r="AD159" s="323" t="e">
        <f t="shared" ca="1" si="84"/>
        <v>#N/A</v>
      </c>
      <c r="AE159" s="324">
        <f t="shared" ca="1" si="63"/>
        <v>776.84084214386348</v>
      </c>
      <c r="AG159" s="306">
        <f t="shared" ca="1" si="85"/>
        <v>-34.082987119411428</v>
      </c>
      <c r="AH159" s="304">
        <f t="shared" ca="1" si="86"/>
        <v>-24.534419997723745</v>
      </c>
    </row>
    <row r="160" spans="1:34" x14ac:dyDescent="0.2">
      <c r="A160" s="347">
        <f t="shared" ca="1" si="64"/>
        <v>0.01</v>
      </c>
      <c r="B160" s="304">
        <f t="shared" ca="1" si="65"/>
        <v>4.7599999999999669</v>
      </c>
      <c r="D160" s="306">
        <f t="shared" ca="1" si="66"/>
        <v>-5.6058077188689888</v>
      </c>
      <c r="E160" s="307">
        <f t="shared" ca="1" si="67"/>
        <v>-33.589303690105467</v>
      </c>
      <c r="F160" s="304">
        <f t="shared" ca="1" si="68"/>
        <v>34.053875000755255</v>
      </c>
      <c r="G160" s="306">
        <f t="shared" ca="1" si="69"/>
        <v>38.478460966613568</v>
      </c>
      <c r="H160" s="307">
        <f t="shared" ca="1" si="70"/>
        <v>163.123875269173</v>
      </c>
      <c r="I160" s="304">
        <f t="shared" ca="1" si="71"/>
        <v>167.60068806896919</v>
      </c>
      <c r="J160" s="306">
        <f t="shared" ca="1" si="72"/>
        <v>164.09922429949424</v>
      </c>
      <c r="K160" s="307">
        <f t="shared" ca="1" si="73"/>
        <v>778.47376036173966</v>
      </c>
      <c r="L160" s="304">
        <f t="shared" ca="1" si="58"/>
        <v>795.58151749989963</v>
      </c>
      <c r="M160" s="306">
        <f t="shared" ca="1" si="74"/>
        <v>1.3391459315003049</v>
      </c>
      <c r="N160" s="304">
        <f t="shared" ca="1" si="75"/>
        <v>76.727410027082712</v>
      </c>
      <c r="P160" s="310">
        <f t="shared" ca="1" si="76"/>
        <v>13</v>
      </c>
      <c r="Q160" s="304">
        <f t="shared" ca="1" si="77"/>
        <v>0</v>
      </c>
      <c r="R160" s="306">
        <f t="shared" ca="1" si="78"/>
        <v>0</v>
      </c>
      <c r="S160" s="307">
        <f t="shared" ca="1" si="79"/>
        <v>2.6792999999999987</v>
      </c>
      <c r="T160" s="304">
        <f t="shared" ca="1" si="59"/>
        <v>26.283932999999987</v>
      </c>
      <c r="U160" s="311">
        <f t="shared" ca="1" si="60"/>
        <v>0</v>
      </c>
      <c r="V160" s="306">
        <f t="shared" ca="1" si="61"/>
        <v>1.1332097783079398</v>
      </c>
      <c r="W160" s="304">
        <f t="shared" ca="1" si="62"/>
        <v>65.183064926525603</v>
      </c>
      <c r="Y160" s="314" t="str">
        <f t="shared" ca="1" si="80"/>
        <v/>
      </c>
      <c r="Z160" s="315" t="str">
        <f t="shared" ca="1" si="81"/>
        <v/>
      </c>
      <c r="AA160" s="316" t="str">
        <f t="shared" ca="1" si="82"/>
        <v/>
      </c>
      <c r="AC160" s="310" t="e">
        <f t="shared" ca="1" si="83"/>
        <v>#N/A</v>
      </c>
      <c r="AD160" s="323" t="e">
        <f t="shared" ca="1" si="84"/>
        <v>#N/A</v>
      </c>
      <c r="AE160" s="324">
        <f t="shared" ca="1" si="63"/>
        <v>778.47376036173966</v>
      </c>
      <c r="AG160" s="306">
        <f t="shared" ca="1" si="85"/>
        <v>-33.979400820017311</v>
      </c>
      <c r="AH160" s="304">
        <f t="shared" ca="1" si="86"/>
        <v>-24.431135138736284</v>
      </c>
    </row>
    <row r="161" spans="1:34" x14ac:dyDescent="0.2">
      <c r="A161" s="347">
        <f t="shared" ca="1" si="64"/>
        <v>0.01</v>
      </c>
      <c r="B161" s="304">
        <f t="shared" ca="1" si="65"/>
        <v>4.7699999999999667</v>
      </c>
      <c r="D161" s="306">
        <f t="shared" ca="1" si="66"/>
        <v>-5.5854134827466888</v>
      </c>
      <c r="E161" s="307">
        <f t="shared" ca="1" si="67"/>
        <v>-33.488553388007666</v>
      </c>
      <c r="F161" s="304">
        <f t="shared" ca="1" si="68"/>
        <v>33.95114212798574</v>
      </c>
      <c r="G161" s="306">
        <f t="shared" ca="1" si="69"/>
        <v>38.422606831786098</v>
      </c>
      <c r="H161" s="307">
        <f t="shared" ca="1" si="70"/>
        <v>162.78898973529292</v>
      </c>
      <c r="I161" s="304">
        <f t="shared" ca="1" si="71"/>
        <v>167.26192601661418</v>
      </c>
      <c r="J161" s="306">
        <f t="shared" ca="1" si="72"/>
        <v>164.48372963848624</v>
      </c>
      <c r="K161" s="307">
        <f t="shared" ca="1" si="73"/>
        <v>780.10332468676199</v>
      </c>
      <c r="L161" s="304">
        <f t="shared" ca="1" si="58"/>
        <v>797.25535087770118</v>
      </c>
      <c r="M161" s="306">
        <f t="shared" ca="1" si="74"/>
        <v>1.3390112791893962</v>
      </c>
      <c r="N161" s="304">
        <f t="shared" ca="1" si="75"/>
        <v>76.719695017965961</v>
      </c>
      <c r="P161" s="310">
        <f t="shared" ca="1" si="76"/>
        <v>13</v>
      </c>
      <c r="Q161" s="304">
        <f t="shared" ca="1" si="77"/>
        <v>0</v>
      </c>
      <c r="R161" s="306">
        <f t="shared" ca="1" si="78"/>
        <v>0</v>
      </c>
      <c r="S161" s="307">
        <f t="shared" ca="1" si="79"/>
        <v>2.6792999999999987</v>
      </c>
      <c r="T161" s="304">
        <f t="shared" ca="1" si="59"/>
        <v>26.283932999999987</v>
      </c>
      <c r="U161" s="311">
        <f t="shared" ca="1" si="60"/>
        <v>0</v>
      </c>
      <c r="V161" s="306">
        <f t="shared" ca="1" si="61"/>
        <v>1.1330248487883119</v>
      </c>
      <c r="W161" s="304">
        <f t="shared" ca="1" si="62"/>
        <v>64.909235014489369</v>
      </c>
      <c r="Y161" s="314" t="str">
        <f t="shared" ca="1" si="80"/>
        <v/>
      </c>
      <c r="Z161" s="315" t="str">
        <f t="shared" ca="1" si="81"/>
        <v/>
      </c>
      <c r="AA161" s="316" t="str">
        <f t="shared" ca="1" si="82"/>
        <v/>
      </c>
      <c r="AC161" s="310" t="e">
        <f t="shared" ca="1" si="83"/>
        <v>#N/A</v>
      </c>
      <c r="AD161" s="323" t="e">
        <f t="shared" ca="1" si="84"/>
        <v>#N/A</v>
      </c>
      <c r="AE161" s="324">
        <f t="shared" ca="1" si="63"/>
        <v>780.10332468676199</v>
      </c>
      <c r="AG161" s="306">
        <f t="shared" ca="1" si="85"/>
        <v>-33.87635686884677</v>
      </c>
      <c r="AH161" s="304">
        <f t="shared" ca="1" si="86"/>
        <v>-24.328393582848371</v>
      </c>
    </row>
    <row r="162" spans="1:34" x14ac:dyDescent="0.2">
      <c r="A162" s="347">
        <f t="shared" ca="1" si="64"/>
        <v>0.01</v>
      </c>
      <c r="B162" s="304">
        <f t="shared" ca="1" si="65"/>
        <v>4.7799999999999665</v>
      </c>
      <c r="D162" s="306">
        <f t="shared" ca="1" si="66"/>
        <v>-5.565124443125943</v>
      </c>
      <c r="E162" s="307">
        <f t="shared" ca="1" si="67"/>
        <v>-33.388332147369908</v>
      </c>
      <c r="F162" s="304">
        <f t="shared" ca="1" si="68"/>
        <v>33.848948782060759</v>
      </c>
      <c r="G162" s="306">
        <f t="shared" ca="1" si="69"/>
        <v>38.366955587354838</v>
      </c>
      <c r="H162" s="307">
        <f t="shared" ca="1" si="70"/>
        <v>162.45510641381921</v>
      </c>
      <c r="I162" s="304">
        <f t="shared" ca="1" si="71"/>
        <v>166.92418902294352</v>
      </c>
      <c r="J162" s="306">
        <f t="shared" ca="1" si="72"/>
        <v>164.86767745058194</v>
      </c>
      <c r="K162" s="307">
        <f t="shared" ca="1" si="73"/>
        <v>781.72954516750758</v>
      </c>
      <c r="L162" s="304">
        <f t="shared" ca="1" si="58"/>
        <v>798.92579934293485</v>
      </c>
      <c r="M162" s="306">
        <f t="shared" ca="1" si="74"/>
        <v>1.3388762774179546</v>
      </c>
      <c r="N162" s="304">
        <f t="shared" ca="1" si="75"/>
        <v>76.71195998623557</v>
      </c>
      <c r="P162" s="310">
        <f t="shared" ca="1" si="76"/>
        <v>13</v>
      </c>
      <c r="Q162" s="304">
        <f t="shared" ca="1" si="77"/>
        <v>0</v>
      </c>
      <c r="R162" s="306">
        <f t="shared" ca="1" si="78"/>
        <v>0</v>
      </c>
      <c r="S162" s="307">
        <f t="shared" ca="1" si="79"/>
        <v>2.6792999999999987</v>
      </c>
      <c r="T162" s="304">
        <f t="shared" ca="1" si="59"/>
        <v>26.283932999999987</v>
      </c>
      <c r="U162" s="311">
        <f t="shared" ca="1" si="60"/>
        <v>0</v>
      </c>
      <c r="V162" s="306">
        <f t="shared" ca="1" si="61"/>
        <v>1.1328403276542613</v>
      </c>
      <c r="W162" s="304">
        <f t="shared" ca="1" si="62"/>
        <v>64.63684059651213</v>
      </c>
      <c r="Y162" s="314" t="str">
        <f t="shared" ca="1" si="80"/>
        <v/>
      </c>
      <c r="Z162" s="315" t="str">
        <f t="shared" ca="1" si="81"/>
        <v/>
      </c>
      <c r="AA162" s="316" t="str">
        <f t="shared" ca="1" si="82"/>
        <v/>
      </c>
      <c r="AC162" s="310" t="e">
        <f t="shared" ca="1" si="83"/>
        <v>#N/A</v>
      </c>
      <c r="AD162" s="323" t="e">
        <f t="shared" ca="1" si="84"/>
        <v>#N/A</v>
      </c>
      <c r="AE162" s="324">
        <f t="shared" ca="1" si="63"/>
        <v>781.72954516750758</v>
      </c>
      <c r="AG162" s="306">
        <f t="shared" ca="1" si="85"/>
        <v>-33.773851480723806</v>
      </c>
      <c r="AH162" s="304">
        <f t="shared" ca="1" si="86"/>
        <v>-24.226191547974995</v>
      </c>
    </row>
    <row r="163" spans="1:34" x14ac:dyDescent="0.2">
      <c r="A163" s="347">
        <f t="shared" ca="1" si="64"/>
        <v>0.01</v>
      </c>
      <c r="B163" s="304">
        <f t="shared" ca="1" si="65"/>
        <v>4.7899999999999663</v>
      </c>
      <c r="D163" s="306">
        <f t="shared" ca="1" si="66"/>
        <v>-5.5449398652120365</v>
      </c>
      <c r="E163" s="307">
        <f t="shared" ca="1" si="67"/>
        <v>-33.288636291854772</v>
      </c>
      <c r="F163" s="304">
        <f t="shared" ca="1" si="68"/>
        <v>33.747291213965724</v>
      </c>
      <c r="G163" s="306">
        <f t="shared" ca="1" si="69"/>
        <v>38.311506188702715</v>
      </c>
      <c r="H163" s="307">
        <f t="shared" ca="1" si="70"/>
        <v>162.12222005090067</v>
      </c>
      <c r="I163" s="304">
        <f t="shared" ca="1" si="71"/>
        <v>166.58747173986302</v>
      </c>
      <c r="J163" s="306">
        <f t="shared" ca="1" si="72"/>
        <v>165.25106975946221</v>
      </c>
      <c r="K163" s="307">
        <f t="shared" ca="1" si="73"/>
        <v>783.35243179983115</v>
      </c>
      <c r="L163" s="304">
        <f t="shared" ca="1" si="58"/>
        <v>800.59287310302466</v>
      </c>
      <c r="M163" s="306">
        <f t="shared" ca="1" si="74"/>
        <v>1.338740925399678</v>
      </c>
      <c r="N163" s="304">
        <f t="shared" ca="1" si="75"/>
        <v>76.704204886839747</v>
      </c>
      <c r="P163" s="310">
        <f t="shared" ca="1" si="76"/>
        <v>13</v>
      </c>
      <c r="Q163" s="304">
        <f t="shared" ca="1" si="77"/>
        <v>0</v>
      </c>
      <c r="R163" s="306">
        <f t="shared" ca="1" si="78"/>
        <v>0</v>
      </c>
      <c r="S163" s="307">
        <f t="shared" ca="1" si="79"/>
        <v>2.6792999999999987</v>
      </c>
      <c r="T163" s="304">
        <f t="shared" ca="1" si="59"/>
        <v>26.283932999999987</v>
      </c>
      <c r="U163" s="311">
        <f t="shared" ca="1" si="60"/>
        <v>0</v>
      </c>
      <c r="V163" s="306">
        <f t="shared" ca="1" si="61"/>
        <v>1.1326562135869349</v>
      </c>
      <c r="W163" s="304">
        <f t="shared" ca="1" si="62"/>
        <v>64.3658717158104</v>
      </c>
      <c r="Y163" s="314" t="str">
        <f t="shared" ca="1" si="80"/>
        <v/>
      </c>
      <c r="Z163" s="315" t="str">
        <f t="shared" ca="1" si="81"/>
        <v/>
      </c>
      <c r="AA163" s="316" t="str">
        <f t="shared" ca="1" si="82"/>
        <v/>
      </c>
      <c r="AC163" s="310" t="e">
        <f t="shared" ca="1" si="83"/>
        <v>#N/A</v>
      </c>
      <c r="AD163" s="323" t="e">
        <f t="shared" ca="1" si="84"/>
        <v>#N/A</v>
      </c>
      <c r="AE163" s="324">
        <f t="shared" ca="1" si="63"/>
        <v>783.35243179983115</v>
      </c>
      <c r="AG163" s="306">
        <f t="shared" ca="1" si="85"/>
        <v>-33.671880903580622</v>
      </c>
      <c r="AH163" s="304">
        <f t="shared" ca="1" si="86"/>
        <v>-24.124525285153645</v>
      </c>
    </row>
    <row r="164" spans="1:34" x14ac:dyDescent="0.2">
      <c r="A164" s="347">
        <f t="shared" ca="1" si="64"/>
        <v>0.01</v>
      </c>
      <c r="B164" s="304">
        <f t="shared" ca="1" si="65"/>
        <v>4.7999999999999661</v>
      </c>
      <c r="D164" s="306">
        <f t="shared" ca="1" si="66"/>
        <v>-5.5248590206300161</v>
      </c>
      <c r="E164" s="307">
        <f t="shared" ca="1" si="67"/>
        <v>-33.189462177263799</v>
      </c>
      <c r="F164" s="304">
        <f t="shared" ca="1" si="68"/>
        <v>33.646165707460057</v>
      </c>
      <c r="G164" s="306">
        <f t="shared" ca="1" si="69"/>
        <v>38.256257598496418</v>
      </c>
      <c r="H164" s="307">
        <f t="shared" ca="1" si="70"/>
        <v>161.79032542912802</v>
      </c>
      <c r="I164" s="304">
        <f t="shared" ca="1" si="71"/>
        <v>166.25176885647161</v>
      </c>
      <c r="J164" s="306">
        <f t="shared" ca="1" si="72"/>
        <v>165.63390857839821</v>
      </c>
      <c r="K164" s="307">
        <f t="shared" ca="1" si="73"/>
        <v>784.97199452723135</v>
      </c>
      <c r="L164" s="304">
        <f t="shared" ca="1" si="58"/>
        <v>802.25658231205364</v>
      </c>
      <c r="M164" s="306">
        <f t="shared" ca="1" si="74"/>
        <v>1.3386052223451657</v>
      </c>
      <c r="N164" s="304">
        <f t="shared" ca="1" si="75"/>
        <v>76.696429674549151</v>
      </c>
      <c r="P164" s="310">
        <f t="shared" ca="1" si="76"/>
        <v>13</v>
      </c>
      <c r="Q164" s="304">
        <f t="shared" ca="1" si="77"/>
        <v>0</v>
      </c>
      <c r="R164" s="306">
        <f t="shared" ca="1" si="78"/>
        <v>0</v>
      </c>
      <c r="S164" s="307">
        <f t="shared" ca="1" si="79"/>
        <v>2.6792999999999987</v>
      </c>
      <c r="T164" s="304">
        <f t="shared" ca="1" si="59"/>
        <v>26.283932999999987</v>
      </c>
      <c r="U164" s="311">
        <f t="shared" ca="1" si="60"/>
        <v>0</v>
      </c>
      <c r="V164" s="306">
        <f t="shared" ca="1" si="61"/>
        <v>1.1324725052745757</v>
      </c>
      <c r="W164" s="304">
        <f t="shared" ca="1" si="62"/>
        <v>64.096318502490476</v>
      </c>
      <c r="Y164" s="314" t="str">
        <f t="shared" ca="1" si="80"/>
        <v/>
      </c>
      <c r="Z164" s="315" t="str">
        <f t="shared" ca="1" si="81"/>
        <v/>
      </c>
      <c r="AA164" s="316" t="str">
        <f t="shared" ca="1" si="82"/>
        <v/>
      </c>
      <c r="AC164" s="310" t="e">
        <f t="shared" ca="1" si="83"/>
        <v>#N/A</v>
      </c>
      <c r="AD164" s="323" t="e">
        <f t="shared" ca="1" si="84"/>
        <v>#N/A</v>
      </c>
      <c r="AE164" s="324">
        <f t="shared" ca="1" si="63"/>
        <v>784.97199452723135</v>
      </c>
      <c r="AG164" s="306">
        <f t="shared" ca="1" si="85"/>
        <v>-33.570441418109134</v>
      </c>
      <c r="AH164" s="304">
        <f t="shared" ca="1" si="86"/>
        <v>-24.02339107819596</v>
      </c>
    </row>
    <row r="165" spans="1:34" x14ac:dyDescent="0.2">
      <c r="A165" s="347">
        <f t="shared" ca="1" si="64"/>
        <v>0.01</v>
      </c>
      <c r="B165" s="304">
        <f t="shared" ca="1" si="65"/>
        <v>4.8099999999999659</v>
      </c>
      <c r="D165" s="306">
        <f t="shared" ca="1" si="66"/>
        <v>-5.5048811873572783</v>
      </c>
      <c r="E165" s="307">
        <f t="shared" ca="1" si="67"/>
        <v>-33.090806191200045</v>
      </c>
      <c r="F165" s="304">
        <f t="shared" ca="1" si="68"/>
        <v>33.545568578733068</v>
      </c>
      <c r="G165" s="306">
        <f t="shared" ca="1" si="69"/>
        <v>38.201208786622843</v>
      </c>
      <c r="H165" s="307">
        <f t="shared" ca="1" si="70"/>
        <v>161.45941736721602</v>
      </c>
      <c r="I165" s="304">
        <f t="shared" ca="1" si="71"/>
        <v>165.91707509873723</v>
      </c>
      <c r="J165" s="306">
        <f t="shared" ca="1" si="72"/>
        <v>166.0161959103238</v>
      </c>
      <c r="K165" s="307">
        <f t="shared" ca="1" si="73"/>
        <v>786.58824324121304</v>
      </c>
      <c r="L165" s="304">
        <f t="shared" ca="1" si="58"/>
        <v>803.91693707113348</v>
      </c>
      <c r="M165" s="306">
        <f t="shared" ca="1" si="74"/>
        <v>1.3384691674619051</v>
      </c>
      <c r="N165" s="304">
        <f t="shared" ca="1" si="75"/>
        <v>76.688634303956178</v>
      </c>
      <c r="P165" s="310">
        <f t="shared" ca="1" si="76"/>
        <v>13</v>
      </c>
      <c r="Q165" s="304">
        <f t="shared" ca="1" si="77"/>
        <v>0</v>
      </c>
      <c r="R165" s="306">
        <f t="shared" ca="1" si="78"/>
        <v>0</v>
      </c>
      <c r="S165" s="307">
        <f t="shared" ca="1" si="79"/>
        <v>2.6792999999999987</v>
      </c>
      <c r="T165" s="304">
        <f t="shared" ca="1" si="59"/>
        <v>26.283932999999987</v>
      </c>
      <c r="U165" s="311">
        <f t="shared" ca="1" si="60"/>
        <v>0</v>
      </c>
      <c r="V165" s="306">
        <f t="shared" ca="1" si="61"/>
        <v>1.1322892014124739</v>
      </c>
      <c r="W165" s="304">
        <f t="shared" ca="1" si="62"/>
        <v>63.828171172638015</v>
      </c>
      <c r="Y165" s="314" t="str">
        <f t="shared" ca="1" si="80"/>
        <v/>
      </c>
      <c r="Z165" s="315" t="str">
        <f t="shared" ca="1" si="81"/>
        <v/>
      </c>
      <c r="AA165" s="316" t="str">
        <f t="shared" ca="1" si="82"/>
        <v/>
      </c>
      <c r="AC165" s="310" t="e">
        <f t="shared" ca="1" si="83"/>
        <v>#N/A</v>
      </c>
      <c r="AD165" s="323" t="e">
        <f t="shared" ca="1" si="84"/>
        <v>#N/A</v>
      </c>
      <c r="AE165" s="324">
        <f t="shared" ca="1" si="63"/>
        <v>786.58824324121304</v>
      </c>
      <c r="AG165" s="306">
        <f t="shared" ca="1" si="85"/>
        <v>-33.469529337416816</v>
      </c>
      <c r="AH165" s="304">
        <f t="shared" ca="1" si="86"/>
        <v>-23.922785243343601</v>
      </c>
    </row>
    <row r="166" spans="1:34" x14ac:dyDescent="0.2">
      <c r="A166" s="347">
        <f t="shared" ca="1" si="64"/>
        <v>0.01</v>
      </c>
      <c r="B166" s="304">
        <f t="shared" ca="1" si="65"/>
        <v>4.8199999999999656</v>
      </c>
      <c r="D166" s="306">
        <f t="shared" ca="1" si="66"/>
        <v>-5.4850056496569985</v>
      </c>
      <c r="E166" s="307">
        <f t="shared" ca="1" si="67"/>
        <v>-32.992664752734882</v>
      </c>
      <c r="F166" s="304">
        <f t="shared" ca="1" si="68"/>
        <v>33.445496176064182</v>
      </c>
      <c r="G166" s="306">
        <f t="shared" ca="1" si="69"/>
        <v>38.146358730126273</v>
      </c>
      <c r="H166" s="307">
        <f t="shared" ca="1" si="70"/>
        <v>161.12949071968868</v>
      </c>
      <c r="I166" s="304">
        <f t="shared" ca="1" si="71"/>
        <v>165.58338522917606</v>
      </c>
      <c r="J166" s="306">
        <f t="shared" ca="1" si="72"/>
        <v>166.39793374790756</v>
      </c>
      <c r="K166" s="307">
        <f t="shared" ca="1" si="73"/>
        <v>788.2011877816476</v>
      </c>
      <c r="L166" s="304">
        <f t="shared" ca="1" si="58"/>
        <v>805.57394742877148</v>
      </c>
      <c r="M166" s="306">
        <f t="shared" ca="1" si="74"/>
        <v>1.3383327599542607</v>
      </c>
      <c r="N166" s="304">
        <f t="shared" ca="1" si="75"/>
        <v>76.680818729474254</v>
      </c>
      <c r="P166" s="310">
        <f t="shared" ca="1" si="76"/>
        <v>13</v>
      </c>
      <c r="Q166" s="304">
        <f t="shared" ca="1" si="77"/>
        <v>0</v>
      </c>
      <c r="R166" s="306">
        <f t="shared" ca="1" si="78"/>
        <v>0</v>
      </c>
      <c r="S166" s="307">
        <f t="shared" ca="1" si="79"/>
        <v>2.6792999999999987</v>
      </c>
      <c r="T166" s="304">
        <f t="shared" ca="1" si="59"/>
        <v>26.283932999999987</v>
      </c>
      <c r="U166" s="311">
        <f t="shared" ca="1" si="60"/>
        <v>0</v>
      </c>
      <c r="V166" s="306">
        <f t="shared" ca="1" si="61"/>
        <v>1.132106300702918</v>
      </c>
      <c r="W166" s="304">
        <f t="shared" ca="1" si="62"/>
        <v>63.561420027418571</v>
      </c>
      <c r="Y166" s="314" t="str">
        <f t="shared" ca="1" si="80"/>
        <v/>
      </c>
      <c r="Z166" s="315" t="str">
        <f t="shared" ca="1" si="81"/>
        <v/>
      </c>
      <c r="AA166" s="316" t="str">
        <f t="shared" ca="1" si="82"/>
        <v/>
      </c>
      <c r="AC166" s="310" t="e">
        <f t="shared" ca="1" si="83"/>
        <v>#N/A</v>
      </c>
      <c r="AD166" s="323" t="e">
        <f t="shared" ca="1" si="84"/>
        <v>#N/A</v>
      </c>
      <c r="AE166" s="324">
        <f t="shared" ca="1" si="63"/>
        <v>788.2011877816476</v>
      </c>
      <c r="AG166" s="306">
        <f t="shared" ca="1" si="85"/>
        <v>-33.369141006686831</v>
      </c>
      <c r="AH166" s="304">
        <f t="shared" ca="1" si="86"/>
        <v>-23.822704128928468</v>
      </c>
    </row>
    <row r="167" spans="1:34" x14ac:dyDescent="0.2">
      <c r="A167" s="347">
        <f t="shared" ca="1" si="64"/>
        <v>0.01</v>
      </c>
      <c r="B167" s="304">
        <f t="shared" ca="1" si="65"/>
        <v>4.8299999999999654</v>
      </c>
      <c r="D167" s="306">
        <f t="shared" ca="1" si="66"/>
        <v>-5.4652316980123601</v>
      </c>
      <c r="E167" s="307">
        <f t="shared" ca="1" si="67"/>
        <v>-32.895034312078792</v>
      </c>
      <c r="F167" s="304">
        <f t="shared" ca="1" si="68"/>
        <v>33.34594487948722</v>
      </c>
      <c r="G167" s="306">
        <f t="shared" ca="1" si="69"/>
        <v>38.091706413146149</v>
      </c>
      <c r="H167" s="307">
        <f t="shared" ca="1" si="70"/>
        <v>160.80054037656788</v>
      </c>
      <c r="I167" s="304">
        <f t="shared" ca="1" si="71"/>
        <v>165.2506940465351</v>
      </c>
      <c r="J167" s="306">
        <f t="shared" ca="1" si="72"/>
        <v>166.77912407362393</v>
      </c>
      <c r="K167" s="307">
        <f t="shared" ca="1" si="73"/>
        <v>789.81083793712889</v>
      </c>
      <c r="L167" s="304">
        <f t="shared" ca="1" si="58"/>
        <v>807.2276233812338</v>
      </c>
      <c r="M167" s="306">
        <f t="shared" ca="1" si="74"/>
        <v>1.3381959990234598</v>
      </c>
      <c r="N167" s="304">
        <f t="shared" ca="1" si="75"/>
        <v>76.672982905337079</v>
      </c>
      <c r="P167" s="310">
        <f t="shared" ca="1" si="76"/>
        <v>13</v>
      </c>
      <c r="Q167" s="304">
        <f t="shared" ca="1" si="77"/>
        <v>0</v>
      </c>
      <c r="R167" s="306">
        <f t="shared" ca="1" si="78"/>
        <v>0</v>
      </c>
      <c r="S167" s="307">
        <f t="shared" ca="1" si="79"/>
        <v>2.6792999999999987</v>
      </c>
      <c r="T167" s="304">
        <f t="shared" ca="1" si="59"/>
        <v>26.283932999999987</v>
      </c>
      <c r="U167" s="311">
        <f t="shared" ca="1" si="60"/>
        <v>0</v>
      </c>
      <c r="V167" s="306">
        <f t="shared" ca="1" si="61"/>
        <v>1.1319238018551412</v>
      </c>
      <c r="W167" s="304">
        <f t="shared" ca="1" si="62"/>
        <v>63.296055452188966</v>
      </c>
      <c r="Y167" s="314" t="str">
        <f t="shared" ca="1" si="80"/>
        <v/>
      </c>
      <c r="Z167" s="315" t="str">
        <f t="shared" ca="1" si="81"/>
        <v/>
      </c>
      <c r="AA167" s="316" t="str">
        <f t="shared" ca="1" si="82"/>
        <v/>
      </c>
      <c r="AC167" s="310" t="e">
        <f t="shared" ca="1" si="83"/>
        <v>#N/A</v>
      </c>
      <c r="AD167" s="323" t="e">
        <f t="shared" ca="1" si="84"/>
        <v>#N/A</v>
      </c>
      <c r="AE167" s="324">
        <f t="shared" ca="1" si="63"/>
        <v>789.81083793712889</v>
      </c>
      <c r="AG167" s="306">
        <f t="shared" ca="1" si="85"/>
        <v>-33.269272802842238</v>
      </c>
      <c r="AH167" s="304">
        <f t="shared" ca="1" si="86"/>
        <v>-23.723144115036988</v>
      </c>
    </row>
    <row r="168" spans="1:34" x14ac:dyDescent="0.2">
      <c r="A168" s="347">
        <f t="shared" ca="1" si="64"/>
        <v>0.01</v>
      </c>
      <c r="B168" s="304">
        <f t="shared" ca="1" si="65"/>
        <v>4.8399999999999652</v>
      </c>
      <c r="D168" s="306">
        <f t="shared" ca="1" si="66"/>
        <v>-5.4455586290615887</v>
      </c>
      <c r="E168" s="307">
        <f t="shared" ca="1" si="67"/>
        <v>-32.797911350256101</v>
      </c>
      <c r="F168" s="304">
        <f t="shared" ca="1" si="68"/>
        <v>33.246911100458718</v>
      </c>
      <c r="G168" s="306">
        <f t="shared" ca="1" si="69"/>
        <v>38.037250826855534</v>
      </c>
      <c r="H168" s="307">
        <f t="shared" ca="1" si="70"/>
        <v>160.47256126306533</v>
      </c>
      <c r="I168" s="304">
        <f t="shared" ca="1" si="71"/>
        <v>164.91899638547821</v>
      </c>
      <c r="J168" s="306">
        <f t="shared" ca="1" si="72"/>
        <v>167.15976885982394</v>
      </c>
      <c r="K168" s="307">
        <f t="shared" ca="1" si="73"/>
        <v>791.417203445327</v>
      </c>
      <c r="L168" s="304">
        <f t="shared" ca="1" si="58"/>
        <v>808.87797487290493</v>
      </c>
      <c r="M168" s="306">
        <f t="shared" ca="1" si="74"/>
        <v>1.3380588838675811</v>
      </c>
      <c r="N168" s="304">
        <f t="shared" ca="1" si="75"/>
        <v>76.665126785597948</v>
      </c>
      <c r="P168" s="310">
        <f t="shared" ca="1" si="76"/>
        <v>13</v>
      </c>
      <c r="Q168" s="304">
        <f t="shared" ca="1" si="77"/>
        <v>0</v>
      </c>
      <c r="R168" s="306">
        <f t="shared" ca="1" si="78"/>
        <v>0</v>
      </c>
      <c r="S168" s="307">
        <f t="shared" ca="1" si="79"/>
        <v>2.6792999999999987</v>
      </c>
      <c r="T168" s="304">
        <f t="shared" ca="1" si="59"/>
        <v>26.283932999999987</v>
      </c>
      <c r="U168" s="311">
        <f t="shared" ca="1" si="60"/>
        <v>0</v>
      </c>
      <c r="V168" s="306">
        <f t="shared" ca="1" si="61"/>
        <v>1.1317417035852784</v>
      </c>
      <c r="W168" s="304">
        <f t="shared" ca="1" si="62"/>
        <v>63.032067915620061</v>
      </c>
      <c r="Y168" s="314" t="str">
        <f t="shared" ca="1" si="80"/>
        <v/>
      </c>
      <c r="Z168" s="315" t="str">
        <f t="shared" ca="1" si="81"/>
        <v/>
      </c>
      <c r="AA168" s="316" t="str">
        <f t="shared" ca="1" si="82"/>
        <v/>
      </c>
      <c r="AC168" s="310" t="e">
        <f t="shared" ca="1" si="83"/>
        <v>#N/A</v>
      </c>
      <c r="AD168" s="323" t="e">
        <f t="shared" ca="1" si="84"/>
        <v>#N/A</v>
      </c>
      <c r="AE168" s="324">
        <f t="shared" ca="1" si="63"/>
        <v>791.417203445327</v>
      </c>
      <c r="AG168" s="306">
        <f t="shared" ca="1" si="85"/>
        <v>-33.169921134214249</v>
      </c>
      <c r="AH168" s="304">
        <f t="shared" ca="1" si="86"/>
        <v>-23.624101613178443</v>
      </c>
    </row>
    <row r="169" spans="1:34" x14ac:dyDescent="0.2">
      <c r="A169" s="347">
        <f t="shared" ca="1" si="64"/>
        <v>0.01</v>
      </c>
      <c r="B169" s="304">
        <f t="shared" ca="1" si="65"/>
        <v>4.849999999999965</v>
      </c>
      <c r="D169" s="306">
        <f t="shared" ca="1" si="66"/>
        <v>-5.4259857455337972</v>
      </c>
      <c r="E169" s="307">
        <f t="shared" ca="1" si="67"/>
        <v>-32.70129237878394</v>
      </c>
      <c r="F169" s="304">
        <f t="shared" ca="1" si="68"/>
        <v>33.148391281530515</v>
      </c>
      <c r="G169" s="306">
        <f t="shared" ca="1" si="69"/>
        <v>37.982990969400198</v>
      </c>
      <c r="H169" s="307">
        <f t="shared" ca="1" si="70"/>
        <v>160.1455483392775</v>
      </c>
      <c r="I169" s="304">
        <f t="shared" ca="1" si="71"/>
        <v>164.5882871162751</v>
      </c>
      <c r="J169" s="306">
        <f t="shared" ca="1" si="72"/>
        <v>167.53987006880521</v>
      </c>
      <c r="K169" s="307">
        <f t="shared" ca="1" si="73"/>
        <v>793.02029399333867</v>
      </c>
      <c r="L169" s="304">
        <f t="shared" ca="1" si="58"/>
        <v>810.52501179664614</v>
      </c>
      <c r="M169" s="306">
        <f t="shared" ca="1" si="74"/>
        <v>1.3379214136815412</v>
      </c>
      <c r="N169" s="304">
        <f t="shared" ca="1" si="75"/>
        <v>76.657250324128981</v>
      </c>
      <c r="P169" s="310">
        <f t="shared" ca="1" si="76"/>
        <v>13</v>
      </c>
      <c r="Q169" s="304">
        <f t="shared" ca="1" si="77"/>
        <v>0</v>
      </c>
      <c r="R169" s="306">
        <f t="shared" ca="1" si="78"/>
        <v>0</v>
      </c>
      <c r="S169" s="307">
        <f t="shared" ca="1" si="79"/>
        <v>2.6792999999999987</v>
      </c>
      <c r="T169" s="304">
        <f t="shared" ca="1" si="59"/>
        <v>26.283932999999987</v>
      </c>
      <c r="U169" s="311">
        <f t="shared" ca="1" si="60"/>
        <v>0</v>
      </c>
      <c r="V169" s="306">
        <f t="shared" ca="1" si="61"/>
        <v>1.1315600046163119</v>
      </c>
      <c r="W169" s="304">
        <f t="shared" ca="1" si="62"/>
        <v>62.769447968829311</v>
      </c>
      <c r="Y169" s="314" t="str">
        <f t="shared" ca="1" si="80"/>
        <v/>
      </c>
      <c r="Z169" s="315" t="str">
        <f t="shared" ca="1" si="81"/>
        <v/>
      </c>
      <c r="AA169" s="316" t="str">
        <f t="shared" ca="1" si="82"/>
        <v/>
      </c>
      <c r="AC169" s="310" t="e">
        <f t="shared" ca="1" si="83"/>
        <v>#N/A</v>
      </c>
      <c r="AD169" s="323" t="e">
        <f t="shared" ca="1" si="84"/>
        <v>#N/A</v>
      </c>
      <c r="AE169" s="324">
        <f t="shared" ca="1" si="63"/>
        <v>793.02029399333867</v>
      </c>
      <c r="AG169" s="306">
        <f t="shared" ca="1" si="85"/>
        <v>-33.071082440214752</v>
      </c>
      <c r="AH169" s="304">
        <f t="shared" ca="1" si="86"/>
        <v>-23.525573065957559</v>
      </c>
    </row>
    <row r="170" spans="1:34" x14ac:dyDescent="0.2">
      <c r="A170" s="347">
        <f t="shared" ca="1" si="64"/>
        <v>0.01</v>
      </c>
      <c r="B170" s="304">
        <f t="shared" ca="1" si="65"/>
        <v>4.8599999999999648</v>
      </c>
      <c r="D170" s="306">
        <f t="shared" ca="1" si="66"/>
        <v>-5.4065123561855826</v>
      </c>
      <c r="E170" s="307">
        <f t="shared" ca="1" si="67"/>
        <v>-32.605173939354778</v>
      </c>
      <c r="F170" s="304">
        <f t="shared" ca="1" si="68"/>
        <v>33.050381896026067</v>
      </c>
      <c r="G170" s="306">
        <f t="shared" ca="1" si="69"/>
        <v>37.928925845838343</v>
      </c>
      <c r="H170" s="307">
        <f t="shared" ca="1" si="70"/>
        <v>159.81949659988396</v>
      </c>
      <c r="I170" s="304">
        <f t="shared" ca="1" si="71"/>
        <v>164.25856114449385</v>
      </c>
      <c r="J170" s="306">
        <f t="shared" ca="1" si="72"/>
        <v>167.9194296528814</v>
      </c>
      <c r="K170" s="307">
        <f t="shared" ca="1" si="73"/>
        <v>794.62011921803446</v>
      </c>
      <c r="L170" s="304">
        <f t="shared" ca="1" si="58"/>
        <v>812.16874399414826</v>
      </c>
      <c r="M170" s="306">
        <f t="shared" ca="1" si="74"/>
        <v>1.3377835876570821</v>
      </c>
      <c r="N170" s="304">
        <f t="shared" ca="1" si="75"/>
        <v>76.649353474620412</v>
      </c>
      <c r="P170" s="310">
        <f t="shared" ca="1" si="76"/>
        <v>13</v>
      </c>
      <c r="Q170" s="304">
        <f t="shared" ca="1" si="77"/>
        <v>0</v>
      </c>
      <c r="R170" s="306">
        <f t="shared" ca="1" si="78"/>
        <v>0</v>
      </c>
      <c r="S170" s="307">
        <f t="shared" ca="1" si="79"/>
        <v>2.6792999999999987</v>
      </c>
      <c r="T170" s="304">
        <f t="shared" ca="1" si="59"/>
        <v>26.283932999999987</v>
      </c>
      <c r="U170" s="311">
        <f t="shared" ca="1" si="60"/>
        <v>0</v>
      </c>
      <c r="V170" s="306">
        <f t="shared" ca="1" si="61"/>
        <v>1.1313787036780265</v>
      </c>
      <c r="W170" s="304">
        <f t="shared" ca="1" si="62"/>
        <v>62.508186244524673</v>
      </c>
      <c r="Y170" s="314" t="str">
        <f t="shared" ca="1" si="80"/>
        <v/>
      </c>
      <c r="Z170" s="315" t="str">
        <f t="shared" ca="1" si="81"/>
        <v/>
      </c>
      <c r="AA170" s="316" t="str">
        <f t="shared" ca="1" si="82"/>
        <v/>
      </c>
      <c r="AC170" s="310" t="e">
        <f t="shared" ca="1" si="83"/>
        <v>#N/A</v>
      </c>
      <c r="AD170" s="323" t="e">
        <f t="shared" ca="1" si="84"/>
        <v>#N/A</v>
      </c>
      <c r="AE170" s="324">
        <f t="shared" ca="1" si="63"/>
        <v>794.62011921803446</v>
      </c>
      <c r="AG170" s="306">
        <f t="shared" ca="1" si="85"/>
        <v>-32.972753191012487</v>
      </c>
      <c r="AH170" s="304">
        <f t="shared" ca="1" si="86"/>
        <v>-23.427554946750771</v>
      </c>
    </row>
    <row r="171" spans="1:34" x14ac:dyDescent="0.2">
      <c r="A171" s="347">
        <f t="shared" ca="1" si="64"/>
        <v>0.01</v>
      </c>
      <c r="B171" s="304">
        <f t="shared" ca="1" si="65"/>
        <v>4.8699999999999646</v>
      </c>
      <c r="D171" s="306">
        <f t="shared" ca="1" si="66"/>
        <v>-5.3871377757384113</v>
      </c>
      <c r="E171" s="307">
        <f t="shared" ca="1" si="67"/>
        <v>-32.509552603523026</v>
      </c>
      <c r="F171" s="304">
        <f t="shared" ca="1" si="68"/>
        <v>32.952879447720782</v>
      </c>
      <c r="G171" s="306">
        <f t="shared" ca="1" si="69"/>
        <v>37.875054468080961</v>
      </c>
      <c r="H171" s="307">
        <f t="shared" ca="1" si="70"/>
        <v>159.49440107384873</v>
      </c>
      <c r="I171" s="304">
        <f t="shared" ca="1" si="71"/>
        <v>163.92981341069665</v>
      </c>
      <c r="J171" s="306">
        <f t="shared" ca="1" si="72"/>
        <v>168.298449554451</v>
      </c>
      <c r="K171" s="307">
        <f t="shared" ca="1" si="73"/>
        <v>796.21668870640315</v>
      </c>
      <c r="L171" s="304">
        <f t="shared" ca="1" si="58"/>
        <v>813.80918125628273</v>
      </c>
      <c r="M171" s="306">
        <f t="shared" ca="1" si="74"/>
        <v>1.3376454049827577</v>
      </c>
      <c r="N171" s="304">
        <f t="shared" ca="1" si="75"/>
        <v>76.641436190579796</v>
      </c>
      <c r="P171" s="310">
        <f t="shared" ca="1" si="76"/>
        <v>13</v>
      </c>
      <c r="Q171" s="304">
        <f t="shared" ca="1" si="77"/>
        <v>0</v>
      </c>
      <c r="R171" s="306">
        <f t="shared" ca="1" si="78"/>
        <v>0</v>
      </c>
      <c r="S171" s="307">
        <f t="shared" ca="1" si="79"/>
        <v>2.6792999999999987</v>
      </c>
      <c r="T171" s="304">
        <f t="shared" ca="1" si="59"/>
        <v>26.283932999999987</v>
      </c>
      <c r="U171" s="311">
        <f t="shared" ca="1" si="60"/>
        <v>0</v>
      </c>
      <c r="V171" s="306">
        <f t="shared" ca="1" si="61"/>
        <v>1.1311977995069629</v>
      </c>
      <c r="W171" s="304">
        <f t="shared" ca="1" si="62"/>
        <v>62.248273456158678</v>
      </c>
      <c r="Y171" s="314" t="str">
        <f t="shared" ca="1" si="80"/>
        <v/>
      </c>
      <c r="Z171" s="315" t="str">
        <f t="shared" ca="1" si="81"/>
        <v/>
      </c>
      <c r="AA171" s="316" t="str">
        <f t="shared" ca="1" si="82"/>
        <v/>
      </c>
      <c r="AC171" s="310" t="e">
        <f t="shared" ca="1" si="83"/>
        <v>#N/A</v>
      </c>
      <c r="AD171" s="323" t="e">
        <f t="shared" ca="1" si="84"/>
        <v>#N/A</v>
      </c>
      <c r="AE171" s="324">
        <f t="shared" ca="1" si="63"/>
        <v>796.21668870640315</v>
      </c>
      <c r="AG171" s="306">
        <f t="shared" ca="1" si="85"/>
        <v>-32.874929887213419</v>
      </c>
      <c r="AH171" s="304">
        <f t="shared" ca="1" si="86"/>
        <v>-23.330043759386669</v>
      </c>
    </row>
    <row r="172" spans="1:34" x14ac:dyDescent="0.2">
      <c r="A172" s="347">
        <f t="shared" ca="1" si="64"/>
        <v>0.01</v>
      </c>
      <c r="B172" s="304">
        <f t="shared" ca="1" si="65"/>
        <v>4.8799999999999644</v>
      </c>
      <c r="D172" s="306">
        <f t="shared" ca="1" si="66"/>
        <v>-5.3678613248167864</v>
      </c>
      <c r="E172" s="307">
        <f t="shared" ca="1" si="67"/>
        <v>-32.414424972395501</v>
      </c>
      <c r="F172" s="304">
        <f t="shared" ca="1" si="68"/>
        <v>32.855880470526444</v>
      </c>
      <c r="G172" s="306">
        <f t="shared" ca="1" si="69"/>
        <v>37.821375854832795</v>
      </c>
      <c r="H172" s="307">
        <f t="shared" ca="1" si="70"/>
        <v>159.17025682412478</v>
      </c>
      <c r="I172" s="304">
        <f t="shared" ca="1" si="71"/>
        <v>163.60203889013846</v>
      </c>
      <c r="J172" s="306">
        <f t="shared" ca="1" si="72"/>
        <v>168.67693170606557</v>
      </c>
      <c r="K172" s="307">
        <f t="shared" ca="1" si="73"/>
        <v>797.81001199589298</v>
      </c>
      <c r="L172" s="304">
        <f t="shared" ca="1" si="58"/>
        <v>815.44633332345029</v>
      </c>
      <c r="M172" s="306">
        <f t="shared" ca="1" si="74"/>
        <v>1.3375068648439226</v>
      </c>
      <c r="N172" s="304">
        <f t="shared" ca="1" si="75"/>
        <v>76.633498425331382</v>
      </c>
      <c r="P172" s="310">
        <f t="shared" ca="1" si="76"/>
        <v>13</v>
      </c>
      <c r="Q172" s="304">
        <f t="shared" ca="1" si="77"/>
        <v>0</v>
      </c>
      <c r="R172" s="306">
        <f t="shared" ca="1" si="78"/>
        <v>0</v>
      </c>
      <c r="S172" s="307">
        <f t="shared" ca="1" si="79"/>
        <v>2.6792999999999987</v>
      </c>
      <c r="T172" s="304">
        <f t="shared" ca="1" si="59"/>
        <v>26.283932999999987</v>
      </c>
      <c r="U172" s="311">
        <f t="shared" ca="1" si="60"/>
        <v>0</v>
      </c>
      <c r="V172" s="306">
        <f t="shared" ca="1" si="61"/>
        <v>1.1310172908463665</v>
      </c>
      <c r="W172" s="304">
        <f t="shared" ca="1" si="62"/>
        <v>61.989700397092314</v>
      </c>
      <c r="Y172" s="314" t="str">
        <f t="shared" ca="1" si="80"/>
        <v/>
      </c>
      <c r="Z172" s="315" t="str">
        <f t="shared" ca="1" si="81"/>
        <v/>
      </c>
      <c r="AA172" s="316" t="str">
        <f t="shared" ca="1" si="82"/>
        <v/>
      </c>
      <c r="AC172" s="310" t="e">
        <f t="shared" ca="1" si="83"/>
        <v>#N/A</v>
      </c>
      <c r="AD172" s="323" t="e">
        <f t="shared" ca="1" si="84"/>
        <v>#N/A</v>
      </c>
      <c r="AE172" s="324">
        <f t="shared" ca="1" si="63"/>
        <v>797.81001199589298</v>
      </c>
      <c r="AG172" s="306">
        <f t="shared" ca="1" si="85"/>
        <v>-32.777609059544972</v>
      </c>
      <c r="AH172" s="304">
        <f t="shared" ca="1" si="86"/>
        <v>-23.233036037830296</v>
      </c>
    </row>
    <row r="173" spans="1:34" x14ac:dyDescent="0.2">
      <c r="A173" s="347">
        <f t="shared" ca="1" si="64"/>
        <v>0.01</v>
      </c>
      <c r="B173" s="304">
        <f t="shared" ca="1" si="65"/>
        <v>4.8899999999999642</v>
      </c>
      <c r="D173" s="306">
        <f t="shared" ca="1" si="66"/>
        <v>-5.3486823298870805</v>
      </c>
      <c r="E173" s="307">
        <f t="shared" ca="1" si="67"/>
        <v>-32.319787676325362</v>
      </c>
      <c r="F173" s="304">
        <f t="shared" ca="1" si="68"/>
        <v>32.759381528179055</v>
      </c>
      <c r="G173" s="306">
        <f t="shared" ca="1" si="69"/>
        <v>37.767889031533926</v>
      </c>
      <c r="H173" s="307">
        <f t="shared" ca="1" si="70"/>
        <v>158.84705894736152</v>
      </c>
      <c r="I173" s="304">
        <f t="shared" ca="1" si="71"/>
        <v>163.27523259246885</v>
      </c>
      <c r="J173" s="306">
        <f t="shared" ca="1" si="72"/>
        <v>169.05487803049741</v>
      </c>
      <c r="K173" s="307">
        <f t="shared" ca="1" si="73"/>
        <v>799.40009857475036</v>
      </c>
      <c r="L173" s="304">
        <f t="shared" ca="1" si="58"/>
        <v>817.08020988592477</v>
      </c>
      <c r="M173" s="306">
        <f t="shared" ca="1" si="74"/>
        <v>1.3373679664227165</v>
      </c>
      <c r="N173" s="304">
        <f t="shared" ca="1" si="75"/>
        <v>76.625540132015246</v>
      </c>
      <c r="P173" s="310">
        <f t="shared" ca="1" si="76"/>
        <v>13</v>
      </c>
      <c r="Q173" s="304">
        <f t="shared" ca="1" si="77"/>
        <v>0</v>
      </c>
      <c r="R173" s="306">
        <f t="shared" ca="1" si="78"/>
        <v>0</v>
      </c>
      <c r="S173" s="307">
        <f t="shared" ca="1" si="79"/>
        <v>2.6792999999999987</v>
      </c>
      <c r="T173" s="304">
        <f t="shared" ca="1" si="59"/>
        <v>26.283932999999987</v>
      </c>
      <c r="U173" s="311">
        <f t="shared" ca="1" si="60"/>
        <v>0</v>
      </c>
      <c r="V173" s="306">
        <f t="shared" ca="1" si="61"/>
        <v>1.1308371764461445</v>
      </c>
      <c r="W173" s="304">
        <f t="shared" ca="1" si="62"/>
        <v>61.73245793976956</v>
      </c>
      <c r="Y173" s="314" t="str">
        <f t="shared" ca="1" si="80"/>
        <v/>
      </c>
      <c r="Z173" s="315" t="str">
        <f t="shared" ca="1" si="81"/>
        <v/>
      </c>
      <c r="AA173" s="316" t="str">
        <f t="shared" ca="1" si="82"/>
        <v/>
      </c>
      <c r="AC173" s="310" t="e">
        <f t="shared" ca="1" si="83"/>
        <v>#N/A</v>
      </c>
      <c r="AD173" s="323" t="e">
        <f t="shared" ca="1" si="84"/>
        <v>#N/A</v>
      </c>
      <c r="AE173" s="324">
        <f t="shared" ca="1" si="63"/>
        <v>799.40009857475036</v>
      </c>
      <c r="AG173" s="306">
        <f t="shared" ca="1" si="85"/>
        <v>-32.680787268543853</v>
      </c>
      <c r="AH173" s="304">
        <f t="shared" ca="1" si="86"/>
        <v>-23.136528345871064</v>
      </c>
    </row>
    <row r="174" spans="1:34" x14ac:dyDescent="0.2">
      <c r="A174" s="347">
        <f t="shared" ca="1" si="64"/>
        <v>0.01</v>
      </c>
      <c r="B174" s="304">
        <f t="shared" ca="1" si="65"/>
        <v>4.8999999999999639</v>
      </c>
      <c r="D174" s="306">
        <f t="shared" ca="1" si="66"/>
        <v>-5.3296001231972232</v>
      </c>
      <c r="E174" s="307">
        <f t="shared" ca="1" si="67"/>
        <v>-32.225637374609988</v>
      </c>
      <c r="F174" s="304">
        <f t="shared" ca="1" si="68"/>
        <v>32.66337921393076</v>
      </c>
      <c r="G174" s="306">
        <f t="shared" ca="1" si="69"/>
        <v>37.714593030301955</v>
      </c>
      <c r="H174" s="307">
        <f t="shared" ca="1" si="70"/>
        <v>158.52480257361543</v>
      </c>
      <c r="I174" s="304">
        <f t="shared" ca="1" si="71"/>
        <v>162.9493895614373</v>
      </c>
      <c r="J174" s="306">
        <f t="shared" ca="1" si="72"/>
        <v>169.43229044080658</v>
      </c>
      <c r="K174" s="307">
        <f t="shared" ca="1" si="73"/>
        <v>800.98695788235523</v>
      </c>
      <c r="L174" s="304">
        <f t="shared" ca="1" si="58"/>
        <v>818.71082058419609</v>
      </c>
      <c r="M174" s="306">
        <f t="shared" ca="1" si="74"/>
        <v>1.3372287088980532</v>
      </c>
      <c r="N174" s="304">
        <f t="shared" ca="1" si="75"/>
        <v>76.617561263586609</v>
      </c>
      <c r="P174" s="310">
        <f t="shared" ca="1" si="76"/>
        <v>13</v>
      </c>
      <c r="Q174" s="304">
        <f t="shared" ca="1" si="77"/>
        <v>0</v>
      </c>
      <c r="R174" s="306">
        <f t="shared" ca="1" si="78"/>
        <v>0</v>
      </c>
      <c r="S174" s="307">
        <f t="shared" ca="1" si="79"/>
        <v>2.6792999999999987</v>
      </c>
      <c r="T174" s="304">
        <f t="shared" ca="1" si="59"/>
        <v>26.283932999999987</v>
      </c>
      <c r="U174" s="311">
        <f t="shared" ca="1" si="60"/>
        <v>0</v>
      </c>
      <c r="V174" s="306">
        <f t="shared" ca="1" si="61"/>
        <v>1.130657455062817</v>
      </c>
      <c r="W174" s="304">
        <f t="shared" ca="1" si="62"/>
        <v>61.476537034901732</v>
      </c>
      <c r="Y174" s="314" t="str">
        <f t="shared" ca="1" si="80"/>
        <v/>
      </c>
      <c r="Z174" s="315" t="str">
        <f t="shared" ca="1" si="81"/>
        <v/>
      </c>
      <c r="AA174" s="316" t="str">
        <f t="shared" ca="1" si="82"/>
        <v/>
      </c>
      <c r="AC174" s="310" t="e">
        <f t="shared" ca="1" si="83"/>
        <v>#N/A</v>
      </c>
      <c r="AD174" s="323" t="e">
        <f t="shared" ca="1" si="84"/>
        <v>#N/A</v>
      </c>
      <c r="AE174" s="324">
        <f t="shared" ca="1" si="63"/>
        <v>800.98695788235523</v>
      </c>
      <c r="AG174" s="306">
        <f t="shared" ca="1" si="85"/>
        <v>-32.584461104247907</v>
      </c>
      <c r="AH174" s="304">
        <f t="shared" ca="1" si="86"/>
        <v>-23.040517276814686</v>
      </c>
    </row>
    <row r="175" spans="1:34" x14ac:dyDescent="0.2">
      <c r="A175" s="347">
        <f t="shared" ca="1" si="64"/>
        <v>0.01</v>
      </c>
      <c r="B175" s="304">
        <f t="shared" ca="1" si="65"/>
        <v>4.9099999999999637</v>
      </c>
      <c r="D175" s="306">
        <f t="shared" ca="1" si="66"/>
        <v>-5.3106140427170292</v>
      </c>
      <c r="E175" s="307">
        <f t="shared" ca="1" si="67"/>
        <v>-32.131970755192491</v>
      </c>
      <c r="F175" s="304">
        <f t="shared" ca="1" si="68"/>
        <v>32.567870150245454</v>
      </c>
      <c r="G175" s="306">
        <f t="shared" ca="1" si="69"/>
        <v>37.661486889874787</v>
      </c>
      <c r="H175" s="307">
        <f t="shared" ca="1" si="70"/>
        <v>158.2034828660635</v>
      </c>
      <c r="I175" s="304">
        <f t="shared" ca="1" si="71"/>
        <v>162.6245048746008</v>
      </c>
      <c r="J175" s="306">
        <f t="shared" ca="1" si="72"/>
        <v>169.80917084040746</v>
      </c>
      <c r="K175" s="307">
        <f t="shared" ca="1" si="73"/>
        <v>802.57059930955359</v>
      </c>
      <c r="L175" s="304">
        <f t="shared" ca="1" si="58"/>
        <v>820.33817500930843</v>
      </c>
      <c r="M175" s="306">
        <f t="shared" ca="1" si="74"/>
        <v>1.3370890914456064</v>
      </c>
      <c r="N175" s="304">
        <f t="shared" ca="1" si="75"/>
        <v>76.609561772815027</v>
      </c>
      <c r="P175" s="310">
        <f t="shared" ca="1" si="76"/>
        <v>13</v>
      </c>
      <c r="Q175" s="304">
        <f t="shared" ca="1" si="77"/>
        <v>0</v>
      </c>
      <c r="R175" s="306">
        <f t="shared" ca="1" si="78"/>
        <v>0</v>
      </c>
      <c r="S175" s="307">
        <f t="shared" ca="1" si="79"/>
        <v>2.6792999999999987</v>
      </c>
      <c r="T175" s="304">
        <f t="shared" ca="1" si="59"/>
        <v>26.283932999999987</v>
      </c>
      <c r="U175" s="311">
        <f t="shared" ca="1" si="60"/>
        <v>0</v>
      </c>
      <c r="V175" s="306">
        <f t="shared" ca="1" si="61"/>
        <v>1.1304781254594725</v>
      </c>
      <c r="W175" s="304">
        <f t="shared" ca="1" si="62"/>
        <v>61.221928710661317</v>
      </c>
      <c r="Y175" s="314" t="str">
        <f t="shared" ca="1" si="80"/>
        <v/>
      </c>
      <c r="Z175" s="315" t="str">
        <f t="shared" ca="1" si="81"/>
        <v/>
      </c>
      <c r="AA175" s="316" t="str">
        <f t="shared" ca="1" si="82"/>
        <v/>
      </c>
      <c r="AC175" s="310" t="e">
        <f t="shared" ca="1" si="83"/>
        <v>#N/A</v>
      </c>
      <c r="AD175" s="323" t="e">
        <f t="shared" ca="1" si="84"/>
        <v>#N/A</v>
      </c>
      <c r="AE175" s="324">
        <f t="shared" ca="1" si="63"/>
        <v>802.57059930955359</v>
      </c>
      <c r="AG175" s="306">
        <f t="shared" ca="1" si="85"/>
        <v>-32.488627185891602</v>
      </c>
      <c r="AH175" s="304">
        <f t="shared" ca="1" si="86"/>
        <v>-22.944999453178728</v>
      </c>
    </row>
    <row r="176" spans="1:34" x14ac:dyDescent="0.2">
      <c r="A176" s="347">
        <f t="shared" ca="1" si="64"/>
        <v>0.01</v>
      </c>
      <c r="B176" s="304">
        <f t="shared" ca="1" si="65"/>
        <v>4.9199999999999635</v>
      </c>
      <c r="D176" s="306">
        <f t="shared" ca="1" si="66"/>
        <v>-5.2917234320792694</v>
      </c>
      <c r="E176" s="307">
        <f t="shared" ca="1" si="67"/>
        <v>-32.038784534366599</v>
      </c>
      <c r="F176" s="304">
        <f t="shared" ca="1" si="68"/>
        <v>32.472850988497839</v>
      </c>
      <c r="G176" s="306">
        <f t="shared" ca="1" si="69"/>
        <v>37.608569655553993</v>
      </c>
      <c r="H176" s="307">
        <f t="shared" ca="1" si="70"/>
        <v>157.88309502071982</v>
      </c>
      <c r="I176" s="304">
        <f t="shared" ca="1" si="71"/>
        <v>162.30057364303522</v>
      </c>
      <c r="J176" s="306">
        <f t="shared" ca="1" si="72"/>
        <v>170.18552112313461</v>
      </c>
      <c r="K176" s="307">
        <f t="shared" ca="1" si="73"/>
        <v>804.15103219898754</v>
      </c>
      <c r="L176" s="304">
        <f t="shared" ca="1" si="58"/>
        <v>821.96228270319682</v>
      </c>
      <c r="M176" s="306">
        <f t="shared" ca="1" si="74"/>
        <v>1.3369491132377971</v>
      </c>
      <c r="N176" s="304">
        <f t="shared" ca="1" si="75"/>
        <v>76.601541612283754</v>
      </c>
      <c r="P176" s="310">
        <f t="shared" ca="1" si="76"/>
        <v>13</v>
      </c>
      <c r="Q176" s="304">
        <f t="shared" ca="1" si="77"/>
        <v>0</v>
      </c>
      <c r="R176" s="306">
        <f t="shared" ca="1" si="78"/>
        <v>0</v>
      </c>
      <c r="S176" s="307">
        <f t="shared" ca="1" si="79"/>
        <v>2.6792999999999987</v>
      </c>
      <c r="T176" s="304">
        <f t="shared" ca="1" si="59"/>
        <v>26.283932999999987</v>
      </c>
      <c r="U176" s="311">
        <f t="shared" ca="1" si="60"/>
        <v>0</v>
      </c>
      <c r="V176" s="306">
        <f t="shared" ca="1" si="61"/>
        <v>1.1302991864057204</v>
      </c>
      <c r="W176" s="304">
        <f t="shared" ca="1" si="62"/>
        <v>60.968624071885948</v>
      </c>
      <c r="Y176" s="314" t="str">
        <f t="shared" ca="1" si="80"/>
        <v/>
      </c>
      <c r="Z176" s="315" t="str">
        <f t="shared" ca="1" si="81"/>
        <v/>
      </c>
      <c r="AA176" s="316" t="str">
        <f t="shared" ca="1" si="82"/>
        <v/>
      </c>
      <c r="AC176" s="310" t="e">
        <f t="shared" ca="1" si="83"/>
        <v>#N/A</v>
      </c>
      <c r="AD176" s="323" t="e">
        <f t="shared" ca="1" si="84"/>
        <v>#N/A</v>
      </c>
      <c r="AE176" s="324">
        <f t="shared" ca="1" si="63"/>
        <v>804.15103219898754</v>
      </c>
      <c r="AG176" s="306">
        <f t="shared" ca="1" si="85"/>
        <v>-32.393282161605072</v>
      </c>
      <c r="AH176" s="304">
        <f t="shared" ca="1" si="86"/>
        <v>-22.849971526391723</v>
      </c>
    </row>
    <row r="177" spans="1:34" x14ac:dyDescent="0.2">
      <c r="A177" s="347">
        <f t="shared" ca="1" si="64"/>
        <v>0.01</v>
      </c>
      <c r="B177" s="304">
        <f t="shared" ca="1" si="65"/>
        <v>4.9299999999999633</v>
      </c>
      <c r="D177" s="306">
        <f t="shared" ca="1" si="66"/>
        <v>-5.2729276405214556</v>
      </c>
      <c r="E177" s="307">
        <f t="shared" ca="1" si="67"/>
        <v>-31.946075456485367</v>
      </c>
      <c r="F177" s="304">
        <f t="shared" ca="1" si="68"/>
        <v>32.378318408676385</v>
      </c>
      <c r="G177" s="306">
        <f t="shared" ca="1" si="69"/>
        <v>37.555840379148776</v>
      </c>
      <c r="H177" s="307">
        <f t="shared" ca="1" si="70"/>
        <v>157.56363426615496</v>
      </c>
      <c r="I177" s="304">
        <f t="shared" ca="1" si="71"/>
        <v>161.97759101104924</v>
      </c>
      <c r="J177" s="306">
        <f t="shared" ca="1" si="72"/>
        <v>170.56134317330813</v>
      </c>
      <c r="K177" s="307">
        <f t="shared" ca="1" si="73"/>
        <v>805.7282658454219</v>
      </c>
      <c r="L177" s="304">
        <f t="shared" ca="1" si="58"/>
        <v>823.58315315902007</v>
      </c>
      <c r="M177" s="306">
        <f t="shared" ca="1" si="74"/>
        <v>1.3368087734437792</v>
      </c>
      <c r="N177" s="304">
        <f t="shared" ca="1" si="75"/>
        <v>76.593500734388797</v>
      </c>
      <c r="P177" s="310">
        <f t="shared" ca="1" si="76"/>
        <v>13</v>
      </c>
      <c r="Q177" s="304">
        <f t="shared" ca="1" si="77"/>
        <v>0</v>
      </c>
      <c r="R177" s="306">
        <f t="shared" ca="1" si="78"/>
        <v>0</v>
      </c>
      <c r="S177" s="307">
        <f t="shared" ca="1" si="79"/>
        <v>2.6792999999999987</v>
      </c>
      <c r="T177" s="304">
        <f t="shared" ca="1" si="59"/>
        <v>26.283932999999987</v>
      </c>
      <c r="U177" s="311">
        <f t="shared" ca="1" si="60"/>
        <v>0</v>
      </c>
      <c r="V177" s="306">
        <f t="shared" ca="1" si="61"/>
        <v>1.1301206366776479</v>
      </c>
      <c r="W177" s="304">
        <f t="shared" ca="1" si="62"/>
        <v>60.716614299291798</v>
      </c>
      <c r="Y177" s="314" t="str">
        <f t="shared" ca="1" si="80"/>
        <v/>
      </c>
      <c r="Z177" s="315" t="str">
        <f t="shared" ca="1" si="81"/>
        <v/>
      </c>
      <c r="AA177" s="316" t="str">
        <f t="shared" ca="1" si="82"/>
        <v/>
      </c>
      <c r="AC177" s="310" t="e">
        <f t="shared" ca="1" si="83"/>
        <v>#N/A</v>
      </c>
      <c r="AD177" s="323" t="e">
        <f t="shared" ca="1" si="84"/>
        <v>#N/A</v>
      </c>
      <c r="AE177" s="324">
        <f t="shared" ca="1" si="63"/>
        <v>805.7282658454219</v>
      </c>
      <c r="AG177" s="306">
        <f t="shared" ca="1" si="85"/>
        <v>-32.298422708116917</v>
      </c>
      <c r="AH177" s="304">
        <f t="shared" ca="1" si="86"/>
        <v>-22.755430176496091</v>
      </c>
    </row>
    <row r="178" spans="1:34" x14ac:dyDescent="0.2">
      <c r="A178" s="347">
        <f t="shared" ca="1" si="64"/>
        <v>0.01</v>
      </c>
      <c r="B178" s="304">
        <f t="shared" ca="1" si="65"/>
        <v>4.9399999999999631</v>
      </c>
      <c r="D178" s="306">
        <f t="shared" ca="1" si="66"/>
        <v>-5.2542260228283473</v>
      </c>
      <c r="E178" s="307">
        <f t="shared" ca="1" si="67"/>
        <v>-31.85384029367323</v>
      </c>
      <c r="F178" s="304">
        <f t="shared" ca="1" si="68"/>
        <v>32.284269119089672</v>
      </c>
      <c r="G178" s="306">
        <f t="shared" ca="1" si="69"/>
        <v>37.50329811892049</v>
      </c>
      <c r="H178" s="307">
        <f t="shared" ca="1" si="70"/>
        <v>157.24509586321824</v>
      </c>
      <c r="I178" s="304">
        <f t="shared" ca="1" si="71"/>
        <v>161.65555215590129</v>
      </c>
      <c r="J178" s="306">
        <f t="shared" ca="1" si="72"/>
        <v>170.93663886579847</v>
      </c>
      <c r="K178" s="307">
        <f t="shared" ca="1" si="73"/>
        <v>807.3023094960688</v>
      </c>
      <c r="L178" s="304">
        <f t="shared" ca="1" si="58"/>
        <v>825.2007958214914</v>
      </c>
      <c r="M178" s="306">
        <f t="shared" ca="1" si="74"/>
        <v>1.3366680712294274</v>
      </c>
      <c r="N178" s="304">
        <f t="shared" ca="1" si="75"/>
        <v>76.585439091338287</v>
      </c>
      <c r="P178" s="310">
        <f t="shared" ca="1" si="76"/>
        <v>13</v>
      </c>
      <c r="Q178" s="304">
        <f t="shared" ca="1" si="77"/>
        <v>0</v>
      </c>
      <c r="R178" s="306">
        <f t="shared" ca="1" si="78"/>
        <v>0</v>
      </c>
      <c r="S178" s="307">
        <f t="shared" ca="1" si="79"/>
        <v>2.6792999999999987</v>
      </c>
      <c r="T178" s="304">
        <f t="shared" ca="1" si="59"/>
        <v>26.283932999999987</v>
      </c>
      <c r="U178" s="311">
        <f t="shared" ca="1" si="60"/>
        <v>0</v>
      </c>
      <c r="V178" s="306">
        <f t="shared" ca="1" si="61"/>
        <v>1.1299424750577736</v>
      </c>
      <c r="W178" s="304">
        <f t="shared" ca="1" si="62"/>
        <v>60.46589064869616</v>
      </c>
      <c r="Y178" s="314" t="str">
        <f t="shared" ca="1" si="80"/>
        <v/>
      </c>
      <c r="Z178" s="315" t="str">
        <f t="shared" ca="1" si="81"/>
        <v/>
      </c>
      <c r="AA178" s="316" t="str">
        <f t="shared" ca="1" si="82"/>
        <v/>
      </c>
      <c r="AC178" s="310" t="e">
        <f t="shared" ca="1" si="83"/>
        <v>#N/A</v>
      </c>
      <c r="AD178" s="323" t="e">
        <f t="shared" ca="1" si="84"/>
        <v>#N/A</v>
      </c>
      <c r="AE178" s="324">
        <f t="shared" ca="1" si="63"/>
        <v>807.3023094960688</v>
      </c>
      <c r="AG178" s="306">
        <f t="shared" ca="1" si="85"/>
        <v>-32.204045530460562</v>
      </c>
      <c r="AH178" s="304">
        <f t="shared" ca="1" si="86"/>
        <v>-22.661372111854526</v>
      </c>
    </row>
    <row r="179" spans="1:34" x14ac:dyDescent="0.2">
      <c r="A179" s="347">
        <f t="shared" ca="1" si="64"/>
        <v>0.01</v>
      </c>
      <c r="B179" s="304">
        <f t="shared" ca="1" si="65"/>
        <v>4.9499999999999629</v>
      </c>
      <c r="D179" s="306">
        <f t="shared" ca="1" si="66"/>
        <v>-5.2356179392750892</v>
      </c>
      <c r="E179" s="307">
        <f t="shared" ca="1" si="67"/>
        <v>-31.762075845541503</v>
      </c>
      <c r="F179" s="304">
        <f t="shared" ca="1" si="68"/>
        <v>32.190699856076293</v>
      </c>
      <c r="G179" s="306">
        <f t="shared" ca="1" si="69"/>
        <v>37.450941939527738</v>
      </c>
      <c r="H179" s="307">
        <f t="shared" ca="1" si="70"/>
        <v>156.92747510476283</v>
      </c>
      <c r="I179" s="304">
        <f t="shared" ca="1" si="71"/>
        <v>161.33445228751927</v>
      </c>
      <c r="J179" s="306">
        <f t="shared" ca="1" si="72"/>
        <v>171.3114100660907</v>
      </c>
      <c r="K179" s="307">
        <f t="shared" ca="1" si="73"/>
        <v>808.8731723509087</v>
      </c>
      <c r="L179" s="304">
        <f t="shared" ca="1" si="58"/>
        <v>826.81522008720617</v>
      </c>
      <c r="M179" s="306">
        <f t="shared" ca="1" si="74"/>
        <v>1.3365270057573231</v>
      </c>
      <c r="N179" s="304">
        <f t="shared" ca="1" si="75"/>
        <v>76.577356635151688</v>
      </c>
      <c r="P179" s="310">
        <f t="shared" ca="1" si="76"/>
        <v>13</v>
      </c>
      <c r="Q179" s="304">
        <f t="shared" ca="1" si="77"/>
        <v>0</v>
      </c>
      <c r="R179" s="306">
        <f t="shared" ca="1" si="78"/>
        <v>0</v>
      </c>
      <c r="S179" s="307">
        <f t="shared" ca="1" si="79"/>
        <v>2.6792999999999987</v>
      </c>
      <c r="T179" s="304">
        <f t="shared" ca="1" si="59"/>
        <v>26.283932999999987</v>
      </c>
      <c r="U179" s="311">
        <f t="shared" ca="1" si="60"/>
        <v>0</v>
      </c>
      <c r="V179" s="306">
        <f t="shared" ca="1" si="61"/>
        <v>1.1297647003350046</v>
      </c>
      <c r="W179" s="304">
        <f t="shared" ca="1" si="62"/>
        <v>60.216444450249618</v>
      </c>
      <c r="Y179" s="314" t="str">
        <f t="shared" ca="1" si="80"/>
        <v/>
      </c>
      <c r="Z179" s="315" t="str">
        <f t="shared" ca="1" si="81"/>
        <v/>
      </c>
      <c r="AA179" s="316" t="str">
        <f t="shared" ca="1" si="82"/>
        <v/>
      </c>
      <c r="AC179" s="310" t="e">
        <f t="shared" ca="1" si="83"/>
        <v>#N/A</v>
      </c>
      <c r="AD179" s="323" t="e">
        <f t="shared" ca="1" si="84"/>
        <v>#N/A</v>
      </c>
      <c r="AE179" s="324">
        <f t="shared" ca="1" si="63"/>
        <v>808.8731723509087</v>
      </c>
      <c r="AG179" s="306">
        <f t="shared" ca="1" si="85"/>
        <v>-32.110147361684</v>
      </c>
      <c r="AH179" s="304">
        <f t="shared" ca="1" si="86"/>
        <v>-22.567794068859847</v>
      </c>
    </row>
    <row r="180" spans="1:34" x14ac:dyDescent="0.2">
      <c r="A180" s="347">
        <f t="shared" ca="1" si="64"/>
        <v>0.01</v>
      </c>
      <c r="B180" s="304">
        <f t="shared" ca="1" si="65"/>
        <v>4.9599999999999627</v>
      </c>
      <c r="D180" s="306">
        <f t="shared" ca="1" si="66"/>
        <v>-5.2171027555710747</v>
      </c>
      <c r="E180" s="307">
        <f t="shared" ca="1" si="67"/>
        <v>-31.67077893890734</v>
      </c>
      <c r="F180" s="304">
        <f t="shared" ca="1" si="68"/>
        <v>32.097607383718248</v>
      </c>
      <c r="G180" s="306">
        <f t="shared" ca="1" si="69"/>
        <v>37.398770911972029</v>
      </c>
      <c r="H180" s="307">
        <f t="shared" ca="1" si="70"/>
        <v>156.61076731537375</v>
      </c>
      <c r="I180" s="304">
        <f t="shared" ca="1" si="71"/>
        <v>161.01428664822356</v>
      </c>
      <c r="J180" s="306">
        <f t="shared" ca="1" si="72"/>
        <v>171.6856586303482</v>
      </c>
      <c r="K180" s="307">
        <f t="shared" ca="1" si="73"/>
        <v>810.44086356300943</v>
      </c>
      <c r="L180" s="304">
        <f t="shared" ca="1" si="58"/>
        <v>828.42643530496593</v>
      </c>
      <c r="M180" s="306">
        <f t="shared" ca="1" si="74"/>
        <v>1.3363855761867405</v>
      </c>
      <c r="N180" s="304">
        <f t="shared" ca="1" si="75"/>
        <v>76.569253317658962</v>
      </c>
      <c r="P180" s="310">
        <f t="shared" ca="1" si="76"/>
        <v>13</v>
      </c>
      <c r="Q180" s="304">
        <f t="shared" ca="1" si="77"/>
        <v>0</v>
      </c>
      <c r="R180" s="306">
        <f t="shared" ca="1" si="78"/>
        <v>0</v>
      </c>
      <c r="S180" s="307">
        <f t="shared" ca="1" si="79"/>
        <v>2.6792999999999987</v>
      </c>
      <c r="T180" s="304">
        <f t="shared" ca="1" si="59"/>
        <v>26.283932999999987</v>
      </c>
      <c r="U180" s="311">
        <f t="shared" ca="1" si="60"/>
        <v>0</v>
      </c>
      <c r="V180" s="306">
        <f t="shared" ca="1" si="61"/>
        <v>1.1295873113045902</v>
      </c>
      <c r="W180" s="304">
        <f t="shared" ca="1" si="62"/>
        <v>59.968267107677285</v>
      </c>
      <c r="Y180" s="314" t="str">
        <f t="shared" ca="1" si="80"/>
        <v/>
      </c>
      <c r="Z180" s="315" t="str">
        <f t="shared" ca="1" si="81"/>
        <v/>
      </c>
      <c r="AA180" s="316" t="str">
        <f t="shared" ca="1" si="82"/>
        <v/>
      </c>
      <c r="AC180" s="310" t="e">
        <f t="shared" ca="1" si="83"/>
        <v>#N/A</v>
      </c>
      <c r="AD180" s="323" t="e">
        <f t="shared" ca="1" si="84"/>
        <v>#N/A</v>
      </c>
      <c r="AE180" s="324">
        <f t="shared" ca="1" si="63"/>
        <v>810.44086356300943</v>
      </c>
      <c r="AG180" s="306">
        <f t="shared" ca="1" si="85"/>
        <v>-32.016724962563138</v>
      </c>
      <c r="AH180" s="304">
        <f t="shared" ca="1" si="86"/>
        <v>-22.474692811648435</v>
      </c>
    </row>
    <row r="181" spans="1:34" x14ac:dyDescent="0.2">
      <c r="A181" s="347">
        <f t="shared" ca="1" si="64"/>
        <v>0.01</v>
      </c>
      <c r="B181" s="304">
        <f t="shared" ca="1" si="65"/>
        <v>4.9699999999999624</v>
      </c>
      <c r="D181" s="306">
        <f t="shared" ca="1" si="66"/>
        <v>-5.1986798428044754</v>
      </c>
      <c r="E181" s="307">
        <f t="shared" ca="1" si="67"/>
        <v>-31.579946427516013</v>
      </c>
      <c r="F181" s="304">
        <f t="shared" ca="1" si="68"/>
        <v>32.004988493557732</v>
      </c>
      <c r="G181" s="306">
        <f t="shared" ca="1" si="69"/>
        <v>37.346784113543983</v>
      </c>
      <c r="H181" s="307">
        <f t="shared" ca="1" si="70"/>
        <v>156.29496785109859</v>
      </c>
      <c r="I181" s="304">
        <f t="shared" ca="1" si="71"/>
        <v>160.69505051245233</v>
      </c>
      <c r="J181" s="306">
        <f t="shared" ca="1" si="72"/>
        <v>172.05938640547578</v>
      </c>
      <c r="K181" s="307">
        <f t="shared" ca="1" si="73"/>
        <v>812.00539223884175</v>
      </c>
      <c r="L181" s="304">
        <f t="shared" ca="1" si="58"/>
        <v>830.03445077610127</v>
      </c>
      <c r="M181" s="306">
        <f t="shared" ca="1" si="74"/>
        <v>1.3362437816736339</v>
      </c>
      <c r="N181" s="304">
        <f t="shared" ca="1" si="75"/>
        <v>76.561129090499847</v>
      </c>
      <c r="P181" s="310">
        <f t="shared" ca="1" si="76"/>
        <v>13</v>
      </c>
      <c r="Q181" s="304">
        <f t="shared" ca="1" si="77"/>
        <v>0</v>
      </c>
      <c r="R181" s="306">
        <f t="shared" ca="1" si="78"/>
        <v>0</v>
      </c>
      <c r="S181" s="307">
        <f t="shared" ca="1" si="79"/>
        <v>2.6792999999999987</v>
      </c>
      <c r="T181" s="304">
        <f t="shared" ca="1" si="59"/>
        <v>26.283932999999987</v>
      </c>
      <c r="U181" s="311">
        <f t="shared" ca="1" si="60"/>
        <v>0</v>
      </c>
      <c r="V181" s="306">
        <f t="shared" ca="1" si="61"/>
        <v>1.1294103067680805</v>
      </c>
      <c r="W181" s="304">
        <f t="shared" ca="1" si="62"/>
        <v>59.721350097528997</v>
      </c>
      <c r="Y181" s="314" t="str">
        <f t="shared" ca="1" si="80"/>
        <v/>
      </c>
      <c r="Z181" s="315" t="str">
        <f t="shared" ca="1" si="81"/>
        <v/>
      </c>
      <c r="AA181" s="316" t="str">
        <f t="shared" ca="1" si="82"/>
        <v/>
      </c>
      <c r="AC181" s="310" t="e">
        <f t="shared" ca="1" si="83"/>
        <v>#N/A</v>
      </c>
      <c r="AD181" s="323" t="e">
        <f t="shared" ca="1" si="84"/>
        <v>#N/A</v>
      </c>
      <c r="AE181" s="324">
        <f t="shared" ca="1" si="63"/>
        <v>812.00539223884175</v>
      </c>
      <c r="AG181" s="306">
        <f t="shared" ca="1" si="85"/>
        <v>-31.923775121318535</v>
      </c>
      <c r="AH181" s="304">
        <f t="shared" ca="1" si="86"/>
        <v>-22.382065131817011</v>
      </c>
    </row>
    <row r="182" spans="1:34" x14ac:dyDescent="0.2">
      <c r="A182" s="347">
        <f t="shared" ca="1" si="64"/>
        <v>0.01</v>
      </c>
      <c r="B182" s="304">
        <f t="shared" ca="1" si="65"/>
        <v>4.9799999999999622</v>
      </c>
      <c r="D182" s="306">
        <f t="shared" ca="1" si="66"/>
        <v>-5.1803485773874023</v>
      </c>
      <c r="E182" s="307">
        <f t="shared" ca="1" si="67"/>
        <v>-31.489575191766527</v>
      </c>
      <c r="F182" s="304">
        <f t="shared" ca="1" si="68"/>
        <v>31.912840004317346</v>
      </c>
      <c r="G182" s="306">
        <f t="shared" ca="1" si="69"/>
        <v>37.294980627770109</v>
      </c>
      <c r="H182" s="307">
        <f t="shared" ca="1" si="70"/>
        <v>155.98007209918092</v>
      </c>
      <c r="I182" s="304">
        <f t="shared" ca="1" si="71"/>
        <v>160.37673918648994</v>
      </c>
      <c r="J182" s="306">
        <f t="shared" ca="1" si="72"/>
        <v>172.43259522918234</v>
      </c>
      <c r="K182" s="307">
        <f t="shared" ca="1" si="73"/>
        <v>813.56676743859316</v>
      </c>
      <c r="L182" s="304">
        <f t="shared" ca="1" si="58"/>
        <v>831.63927575479079</v>
      </c>
      <c r="M182" s="306">
        <f t="shared" ca="1" si="74"/>
        <v>1.3361016213706232</v>
      </c>
      <c r="N182" s="304">
        <f t="shared" ca="1" si="75"/>
        <v>76.552983905123028</v>
      </c>
      <c r="P182" s="310">
        <f t="shared" ca="1" si="76"/>
        <v>13</v>
      </c>
      <c r="Q182" s="304">
        <f t="shared" ca="1" si="77"/>
        <v>0</v>
      </c>
      <c r="R182" s="306">
        <f t="shared" ca="1" si="78"/>
        <v>0</v>
      </c>
      <c r="S182" s="307">
        <f t="shared" ca="1" si="79"/>
        <v>2.6792999999999987</v>
      </c>
      <c r="T182" s="304">
        <f t="shared" ca="1" si="59"/>
        <v>26.283932999999987</v>
      </c>
      <c r="U182" s="311">
        <f t="shared" ca="1" si="60"/>
        <v>0</v>
      </c>
      <c r="V182" s="306">
        <f t="shared" ca="1" si="61"/>
        <v>1.1292336855332823</v>
      </c>
      <c r="W182" s="304">
        <f t="shared" ca="1" si="62"/>
        <v>59.475684968438578</v>
      </c>
      <c r="Y182" s="314" t="str">
        <f t="shared" ca="1" si="80"/>
        <v/>
      </c>
      <c r="Z182" s="315" t="str">
        <f t="shared" ca="1" si="81"/>
        <v/>
      </c>
      <c r="AA182" s="316" t="str">
        <f t="shared" ca="1" si="82"/>
        <v/>
      </c>
      <c r="AC182" s="310" t="e">
        <f t="shared" ca="1" si="83"/>
        <v>#N/A</v>
      </c>
      <c r="AD182" s="323" t="e">
        <f t="shared" ca="1" si="84"/>
        <v>#N/A</v>
      </c>
      <c r="AE182" s="324">
        <f t="shared" ca="1" si="63"/>
        <v>813.56676743859316</v>
      </c>
      <c r="AG182" s="306">
        <f t="shared" ca="1" si="85"/>
        <v>-31.831294653335448</v>
      </c>
      <c r="AH182" s="304">
        <f t="shared" ca="1" si="86"/>
        <v>-22.289907848142807</v>
      </c>
    </row>
    <row r="183" spans="1:34" x14ac:dyDescent="0.2">
      <c r="A183" s="347">
        <f t="shared" ca="1" si="64"/>
        <v>0.01</v>
      </c>
      <c r="B183" s="304">
        <f t="shared" ca="1" si="65"/>
        <v>4.989999999999962</v>
      </c>
      <c r="D183" s="306">
        <f t="shared" ca="1" si="66"/>
        <v>-5.1621083410017699</v>
      </c>
      <c r="E183" s="307">
        <f t="shared" ca="1" si="67"/>
        <v>-31.399662138440462</v>
      </c>
      <c r="F183" s="304">
        <f t="shared" ca="1" si="68"/>
        <v>31.821158761623554</v>
      </c>
      <c r="G183" s="306">
        <f t="shared" ca="1" si="69"/>
        <v>37.243359544360089</v>
      </c>
      <c r="H183" s="307">
        <f t="shared" ca="1" si="70"/>
        <v>155.66607547779651</v>
      </c>
      <c r="I183" s="304">
        <f t="shared" ca="1" si="71"/>
        <v>160.05934800819827</v>
      </c>
      <c r="J183" s="306">
        <f t="shared" ca="1" si="72"/>
        <v>172.805286930043</v>
      </c>
      <c r="K183" s="307">
        <f t="shared" ca="1" si="73"/>
        <v>815.12499817647802</v>
      </c>
      <c r="L183" s="304">
        <f t="shared" ca="1" si="58"/>
        <v>833.24091944837767</v>
      </c>
      <c r="M183" s="306">
        <f t="shared" ca="1" si="74"/>
        <v>1.3359590944269808</v>
      </c>
      <c r="N183" s="304">
        <f t="shared" ca="1" si="75"/>
        <v>76.544817712785417</v>
      </c>
      <c r="P183" s="310">
        <f t="shared" ca="1" si="76"/>
        <v>13</v>
      </c>
      <c r="Q183" s="304">
        <f t="shared" ca="1" si="77"/>
        <v>0</v>
      </c>
      <c r="R183" s="306">
        <f t="shared" ca="1" si="78"/>
        <v>0</v>
      </c>
      <c r="S183" s="307">
        <f t="shared" ca="1" si="79"/>
        <v>2.6792999999999987</v>
      </c>
      <c r="T183" s="304">
        <f t="shared" ca="1" si="59"/>
        <v>26.283932999999987</v>
      </c>
      <c r="U183" s="311">
        <f t="shared" ca="1" si="60"/>
        <v>0</v>
      </c>
      <c r="V183" s="306">
        <f t="shared" ca="1" si="61"/>
        <v>1.1290574464142145</v>
      </c>
      <c r="W183" s="304">
        <f t="shared" ca="1" si="62"/>
        <v>59.231263340391791</v>
      </c>
      <c r="Y183" s="314" t="str">
        <f t="shared" ca="1" si="80"/>
        <v/>
      </c>
      <c r="Z183" s="315" t="str">
        <f t="shared" ca="1" si="81"/>
        <v/>
      </c>
      <c r="AA183" s="316" t="str">
        <f t="shared" ca="1" si="82"/>
        <v/>
      </c>
      <c r="AC183" s="310" t="e">
        <f t="shared" ca="1" si="83"/>
        <v>#N/A</v>
      </c>
      <c r="AD183" s="323" t="e">
        <f t="shared" ca="1" si="84"/>
        <v>#N/A</v>
      </c>
      <c r="AE183" s="324">
        <f t="shared" ca="1" si="63"/>
        <v>815.12499817647802</v>
      </c>
      <c r="AG183" s="306">
        <f t="shared" ca="1" si="85"/>
        <v>-31.739280400887303</v>
      </c>
      <c r="AH183" s="304">
        <f t="shared" ca="1" si="86"/>
        <v>-22.198217806307099</v>
      </c>
    </row>
    <row r="184" spans="1:34" x14ac:dyDescent="0.2">
      <c r="A184" s="347">
        <f t="shared" ca="1" si="64"/>
        <v>0.01</v>
      </c>
      <c r="B184" s="304">
        <f t="shared" ca="1" si="65"/>
        <v>4.9999999999999618</v>
      </c>
      <c r="D184" s="306">
        <f t="shared" ca="1" si="66"/>
        <v>-5.1439585205457341</v>
      </c>
      <c r="E184" s="307">
        <f t="shared" ca="1" si="67"/>
        <v>-31.310204200434057</v>
      </c>
      <c r="F184" s="304">
        <f t="shared" ca="1" si="68"/>
        <v>31.729941637733493</v>
      </c>
      <c r="G184" s="306">
        <f t="shared" ca="1" si="69"/>
        <v>37.191919959154632</v>
      </c>
      <c r="H184" s="307">
        <f t="shared" ca="1" si="70"/>
        <v>155.35297343579217</v>
      </c>
      <c r="I184" s="304">
        <f t="shared" ca="1" si="71"/>
        <v>159.74287234675015</v>
      </c>
      <c r="J184" s="306">
        <f t="shared" ca="1" si="72"/>
        <v>173.17746332756056</v>
      </c>
      <c r="K184" s="307">
        <f t="shared" ca="1" si="73"/>
        <v>816.68009342104597</v>
      </c>
      <c r="L184" s="304">
        <f t="shared" ca="1" si="58"/>
        <v>834.83939101768374</v>
      </c>
      <c r="M184" s="306">
        <f t="shared" ca="1" si="74"/>
        <v>1.3358161999886169</v>
      </c>
      <c r="N184" s="304">
        <f t="shared" ca="1" si="75"/>
        <v>76.53663046455128</v>
      </c>
      <c r="P184" s="310">
        <f t="shared" ca="1" si="76"/>
        <v>13</v>
      </c>
      <c r="Q184" s="304">
        <f t="shared" ca="1" si="77"/>
        <v>0</v>
      </c>
      <c r="R184" s="306">
        <f t="shared" ca="1" si="78"/>
        <v>0</v>
      </c>
      <c r="S184" s="307">
        <f t="shared" ca="1" si="79"/>
        <v>2.6792999999999987</v>
      </c>
      <c r="T184" s="304">
        <f t="shared" ca="1" si="59"/>
        <v>26.283932999999987</v>
      </c>
      <c r="U184" s="311">
        <f t="shared" ca="1" si="60"/>
        <v>0</v>
      </c>
      <c r="V184" s="306">
        <f t="shared" ca="1" si="61"/>
        <v>1.1288815882310685</v>
      </c>
      <c r="W184" s="304">
        <f t="shared" ca="1" si="62"/>
        <v>58.988076904002945</v>
      </c>
      <c r="Y184" s="314" t="str">
        <f t="shared" ca="1" si="80"/>
        <v/>
      </c>
      <c r="Z184" s="315" t="str">
        <f t="shared" ca="1" si="81"/>
        <v/>
      </c>
      <c r="AA184" s="316" t="str">
        <f t="shared" ca="1" si="82"/>
        <v/>
      </c>
      <c r="AC184" s="310">
        <f t="shared" ca="1" si="83"/>
        <v>4.9999999999999618</v>
      </c>
      <c r="AD184" s="323">
        <f t="shared" ca="1" si="84"/>
        <v>173.17746332756056</v>
      </c>
      <c r="AE184" s="324">
        <f t="shared" ca="1" si="63"/>
        <v>816.68009342104597</v>
      </c>
      <c r="AG184" s="306">
        <f t="shared" ca="1" si="85"/>
        <v>-31.647729232862382</v>
      </c>
      <c r="AH184" s="304">
        <f t="shared" ca="1" si="86"/>
        <v>-22.106991878621962</v>
      </c>
    </row>
    <row r="185" spans="1:34" x14ac:dyDescent="0.2">
      <c r="A185" s="347">
        <f t="shared" ca="1" si="64"/>
        <v>0.01</v>
      </c>
      <c r="B185" s="304">
        <f t="shared" ca="1" si="65"/>
        <v>5.0099999999999616</v>
      </c>
      <c r="D185" s="306">
        <f t="shared" ca="1" si="66"/>
        <v>-5.1258985080808435</v>
      </c>
      <c r="E185" s="307">
        <f t="shared" ca="1" si="67"/>
        <v>-31.221198336493465</v>
      </c>
      <c r="F185" s="304">
        <f t="shared" ca="1" si="68"/>
        <v>31.639185531264989</v>
      </c>
      <c r="G185" s="306">
        <f t="shared" ca="1" si="69"/>
        <v>37.140660974073825</v>
      </c>
      <c r="H185" s="307">
        <f t="shared" ca="1" si="70"/>
        <v>155.04076145242723</v>
      </c>
      <c r="I185" s="304">
        <f t="shared" ca="1" si="71"/>
        <v>159.42730760236634</v>
      </c>
      <c r="J185" s="306">
        <f t="shared" ca="1" si="72"/>
        <v>173.54912623222671</v>
      </c>
      <c r="K185" s="307">
        <f t="shared" ca="1" si="73"/>
        <v>818.23206209548709</v>
      </c>
      <c r="L185" s="304">
        <f t="shared" ca="1" si="58"/>
        <v>836.43469957732054</v>
      </c>
      <c r="M185" s="306">
        <f t="shared" ca="1" si="74"/>
        <v>1.3356729371980667</v>
      </c>
      <c r="N185" s="304">
        <f t="shared" ca="1" si="75"/>
        <v>76.528422111291476</v>
      </c>
      <c r="P185" s="310">
        <f t="shared" ca="1" si="76"/>
        <v>13</v>
      </c>
      <c r="Q185" s="304">
        <f t="shared" ca="1" si="77"/>
        <v>0</v>
      </c>
      <c r="R185" s="306">
        <f t="shared" ca="1" si="78"/>
        <v>0</v>
      </c>
      <c r="S185" s="307">
        <f t="shared" ca="1" si="79"/>
        <v>2.6792999999999987</v>
      </c>
      <c r="T185" s="304">
        <f t="shared" ca="1" si="59"/>
        <v>26.283932999999987</v>
      </c>
      <c r="U185" s="311">
        <f t="shared" ca="1" si="60"/>
        <v>0</v>
      </c>
      <c r="V185" s="306">
        <f t="shared" ca="1" si="61"/>
        <v>1.1287061098101641</v>
      </c>
      <c r="W185" s="304">
        <f t="shared" ca="1" si="62"/>
        <v>58.746117419800221</v>
      </c>
      <c r="Y185" s="314" t="str">
        <f t="shared" ca="1" si="80"/>
        <v/>
      </c>
      <c r="Z185" s="315" t="str">
        <f t="shared" ca="1" si="81"/>
        <v/>
      </c>
      <c r="AA185" s="316" t="str">
        <f t="shared" ca="1" si="82"/>
        <v/>
      </c>
      <c r="AC185" s="310" t="e">
        <f t="shared" ca="1" si="83"/>
        <v>#N/A</v>
      </c>
      <c r="AD185" s="323" t="e">
        <f t="shared" ca="1" si="84"/>
        <v>#N/A</v>
      </c>
      <c r="AE185" s="324">
        <f t="shared" ca="1" si="63"/>
        <v>818.23206209548709</v>
      </c>
      <c r="AG185" s="306">
        <f t="shared" ca="1" si="85"/>
        <v>-31.556638044493731</v>
      </c>
      <c r="AH185" s="304">
        <f t="shared" ca="1" si="86"/>
        <v>-22.0162269637603</v>
      </c>
    </row>
    <row r="186" spans="1:34" x14ac:dyDescent="0.2">
      <c r="A186" s="347">
        <f t="shared" ca="1" si="64"/>
        <v>0.01</v>
      </c>
      <c r="B186" s="304">
        <f t="shared" ca="1" si="65"/>
        <v>5.0199999999999614</v>
      </c>
      <c r="D186" s="306">
        <f t="shared" ca="1" si="66"/>
        <v>-5.1079277007797499</v>
      </c>
      <c r="E186" s="307">
        <f t="shared" ca="1" si="67"/>
        <v>-31.132641530953173</v>
      </c>
      <c r="F186" s="304">
        <f t="shared" ca="1" si="68"/>
        <v>31.548887366929812</v>
      </c>
      <c r="G186" s="306">
        <f t="shared" ca="1" si="69"/>
        <v>37.089581697066031</v>
      </c>
      <c r="H186" s="307">
        <f t="shared" ca="1" si="70"/>
        <v>154.7294350371177</v>
      </c>
      <c r="I186" s="304">
        <f t="shared" ca="1" si="71"/>
        <v>159.1126492060545</v>
      </c>
      <c r="J186" s="306">
        <f t="shared" ca="1" si="72"/>
        <v>173.9202774455824</v>
      </c>
      <c r="K186" s="307">
        <f t="shared" ca="1" si="73"/>
        <v>819.78091307793477</v>
      </c>
      <c r="L186" s="304">
        <f t="shared" ca="1" si="58"/>
        <v>838.02685419599823</v>
      </c>
      <c r="M186" s="306">
        <f t="shared" ca="1" si="74"/>
        <v>1.3355293051944752</v>
      </c>
      <c r="N186" s="304">
        <f t="shared" ca="1" si="75"/>
        <v>76.520192603682688</v>
      </c>
      <c r="P186" s="310">
        <f t="shared" ca="1" si="76"/>
        <v>13</v>
      </c>
      <c r="Q186" s="304">
        <f t="shared" ca="1" si="77"/>
        <v>0</v>
      </c>
      <c r="R186" s="306">
        <f t="shared" ca="1" si="78"/>
        <v>0</v>
      </c>
      <c r="S186" s="307">
        <f t="shared" ca="1" si="79"/>
        <v>2.6792999999999987</v>
      </c>
      <c r="T186" s="304">
        <f t="shared" ca="1" si="59"/>
        <v>26.283932999999987</v>
      </c>
      <c r="U186" s="311">
        <f t="shared" ca="1" si="60"/>
        <v>0</v>
      </c>
      <c r="V186" s="306">
        <f t="shared" ca="1" si="61"/>
        <v>1.1285310099839079</v>
      </c>
      <c r="W186" s="304">
        <f t="shared" ca="1" si="62"/>
        <v>58.505376717519304</v>
      </c>
      <c r="Y186" s="314" t="str">
        <f t="shared" ca="1" si="80"/>
        <v/>
      </c>
      <c r="Z186" s="315" t="str">
        <f t="shared" ca="1" si="81"/>
        <v/>
      </c>
      <c r="AA186" s="316" t="str">
        <f t="shared" ca="1" si="82"/>
        <v/>
      </c>
      <c r="AC186" s="310" t="e">
        <f t="shared" ca="1" si="83"/>
        <v>#N/A</v>
      </c>
      <c r="AD186" s="323" t="e">
        <f t="shared" ca="1" si="84"/>
        <v>#N/A</v>
      </c>
      <c r="AE186" s="324">
        <f t="shared" ca="1" si="63"/>
        <v>819.78091307793477</v>
      </c>
      <c r="AG186" s="306">
        <f t="shared" ca="1" si="85"/>
        <v>-31.466003757092377</v>
      </c>
      <c r="AH186" s="304">
        <f t="shared" ca="1" si="86"/>
        <v>-21.925919986489102</v>
      </c>
    </row>
    <row r="187" spans="1:34" x14ac:dyDescent="0.2">
      <c r="A187" s="347">
        <f t="shared" ca="1" si="64"/>
        <v>0.01</v>
      </c>
      <c r="B187" s="304">
        <f t="shared" ca="1" si="65"/>
        <v>5.0299999999999612</v>
      </c>
      <c r="D187" s="306">
        <f t="shared" ca="1" si="66"/>
        <v>-5.09004550087458</v>
      </c>
      <c r="E187" s="307">
        <f t="shared" ca="1" si="67"/>
        <v>-31.044530793477456</v>
      </c>
      <c r="F187" s="304">
        <f t="shared" ca="1" si="68"/>
        <v>31.45904409527002</v>
      </c>
      <c r="G187" s="306">
        <f t="shared" ca="1" si="69"/>
        <v>37.038681242057287</v>
      </c>
      <c r="H187" s="307">
        <f t="shared" ca="1" si="70"/>
        <v>154.41898972918293</v>
      </c>
      <c r="I187" s="304">
        <f t="shared" ca="1" si="71"/>
        <v>158.79889261935119</v>
      </c>
      <c r="J187" s="306">
        <f t="shared" ca="1" si="72"/>
        <v>174.290918760278</v>
      </c>
      <c r="K187" s="307">
        <f t="shared" ca="1" si="73"/>
        <v>821.32665520176624</v>
      </c>
      <c r="L187" s="304">
        <f t="shared" ca="1" si="58"/>
        <v>839.61586389683157</v>
      </c>
      <c r="M187" s="306">
        <f t="shared" ca="1" si="74"/>
        <v>1.3353853031135845</v>
      </c>
      <c r="N187" s="304">
        <f t="shared" ca="1" si="75"/>
        <v>76.511941892206536</v>
      </c>
      <c r="P187" s="310">
        <f t="shared" ca="1" si="76"/>
        <v>13</v>
      </c>
      <c r="Q187" s="304">
        <f t="shared" ca="1" si="77"/>
        <v>0</v>
      </c>
      <c r="R187" s="306">
        <f t="shared" ca="1" si="78"/>
        <v>0</v>
      </c>
      <c r="S187" s="307">
        <f t="shared" ca="1" si="79"/>
        <v>2.6792999999999987</v>
      </c>
      <c r="T187" s="304">
        <f t="shared" ca="1" si="59"/>
        <v>26.283932999999987</v>
      </c>
      <c r="U187" s="311">
        <f t="shared" ca="1" si="60"/>
        <v>0</v>
      </c>
      <c r="V187" s="306">
        <f t="shared" ca="1" si="61"/>
        <v>1.128356287590752</v>
      </c>
      <c r="W187" s="304">
        <f t="shared" ca="1" si="62"/>
        <v>58.265846695405365</v>
      </c>
      <c r="Y187" s="314" t="str">
        <f t="shared" ca="1" si="80"/>
        <v/>
      </c>
      <c r="Z187" s="315" t="str">
        <f t="shared" ca="1" si="81"/>
        <v/>
      </c>
      <c r="AA187" s="316" t="str">
        <f t="shared" ca="1" si="82"/>
        <v/>
      </c>
      <c r="AC187" s="310" t="e">
        <f t="shared" ca="1" si="83"/>
        <v>#N/A</v>
      </c>
      <c r="AD187" s="323" t="e">
        <f t="shared" ca="1" si="84"/>
        <v>#N/A</v>
      </c>
      <c r="AE187" s="324">
        <f t="shared" ca="1" si="63"/>
        <v>821.32665520176624</v>
      </c>
      <c r="AG187" s="306">
        <f t="shared" ca="1" si="85"/>
        <v>-31.375823317783556</v>
      </c>
      <c r="AH187" s="304">
        <f t="shared" ca="1" si="86"/>
        <v>-21.83606789740579</v>
      </c>
    </row>
    <row r="188" spans="1:34" x14ac:dyDescent="0.2">
      <c r="A188" s="347">
        <f t="shared" ca="1" si="64"/>
        <v>0.01</v>
      </c>
      <c r="B188" s="304">
        <f t="shared" ca="1" si="65"/>
        <v>5.039999999999961</v>
      </c>
      <c r="D188" s="306">
        <f t="shared" ca="1" si="66"/>
        <v>-5.0722513156058859</v>
      </c>
      <c r="E188" s="307">
        <f t="shared" ca="1" si="67"/>
        <v>-30.956863158804907</v>
      </c>
      <c r="F188" s="304">
        <f t="shared" ca="1" si="68"/>
        <v>31.369652692397445</v>
      </c>
      <c r="G188" s="306">
        <f t="shared" ca="1" si="69"/>
        <v>36.987958728901226</v>
      </c>
      <c r="H188" s="307">
        <f t="shared" ca="1" si="70"/>
        <v>154.10942109759489</v>
      </c>
      <c r="I188" s="304">
        <f t="shared" ca="1" si="71"/>
        <v>158.48603333406615</v>
      </c>
      <c r="J188" s="306">
        <f t="shared" ca="1" si="72"/>
        <v>174.6610519601328</v>
      </c>
      <c r="K188" s="307">
        <f t="shared" ca="1" si="73"/>
        <v>822.86929725590016</v>
      </c>
      <c r="L188" s="304">
        <f t="shared" ca="1" si="58"/>
        <v>841.20173765764366</v>
      </c>
      <c r="M188" s="306">
        <f t="shared" ca="1" si="74"/>
        <v>1.3352409300877186</v>
      </c>
      <c r="N188" s="304">
        <f t="shared" ca="1" si="75"/>
        <v>76.503669927148891</v>
      </c>
      <c r="P188" s="310">
        <f t="shared" ca="1" si="76"/>
        <v>13</v>
      </c>
      <c r="Q188" s="304">
        <f t="shared" ca="1" si="77"/>
        <v>0</v>
      </c>
      <c r="R188" s="306">
        <f t="shared" ca="1" si="78"/>
        <v>0</v>
      </c>
      <c r="S188" s="307">
        <f t="shared" ca="1" si="79"/>
        <v>2.6792999999999987</v>
      </c>
      <c r="T188" s="304">
        <f t="shared" ca="1" si="59"/>
        <v>26.283932999999987</v>
      </c>
      <c r="U188" s="311">
        <f t="shared" ca="1" si="60"/>
        <v>0</v>
      </c>
      <c r="V188" s="306">
        <f t="shared" ca="1" si="61"/>
        <v>1.1281819414751535</v>
      </c>
      <c r="W188" s="304">
        <f t="shared" ca="1" si="62"/>
        <v>58.02751931952325</v>
      </c>
      <c r="Y188" s="314" t="str">
        <f t="shared" ca="1" si="80"/>
        <v/>
      </c>
      <c r="Z188" s="315" t="str">
        <f t="shared" ca="1" si="81"/>
        <v/>
      </c>
      <c r="AA188" s="316" t="str">
        <f t="shared" ca="1" si="82"/>
        <v/>
      </c>
      <c r="AC188" s="310" t="e">
        <f t="shared" ca="1" si="83"/>
        <v>#N/A</v>
      </c>
      <c r="AD188" s="323" t="e">
        <f t="shared" ca="1" si="84"/>
        <v>#N/A</v>
      </c>
      <c r="AE188" s="324">
        <f t="shared" ca="1" si="63"/>
        <v>822.86929725590016</v>
      </c>
      <c r="AG188" s="306">
        <f t="shared" ca="1" si="85"/>
        <v>-31.286093699246145</v>
      </c>
      <c r="AH188" s="304">
        <f t="shared" ca="1" si="86"/>
        <v>-21.746667672677713</v>
      </c>
    </row>
    <row r="189" spans="1:34" x14ac:dyDescent="0.2">
      <c r="A189" s="347">
        <f t="shared" ca="1" si="64"/>
        <v>0.01</v>
      </c>
      <c r="B189" s="304">
        <f t="shared" ca="1" si="65"/>
        <v>5.0499999999999607</v>
      </c>
      <c r="D189" s="306">
        <f t="shared" ca="1" si="66"/>
        <v>-5.0545445571722141</v>
      </c>
      <c r="E189" s="307">
        <f t="shared" ca="1" si="67"/>
        <v>-30.869635686495997</v>
      </c>
      <c r="F189" s="304">
        <f t="shared" ca="1" si="68"/>
        <v>31.280710159736245</v>
      </c>
      <c r="G189" s="306">
        <f t="shared" ca="1" si="69"/>
        <v>36.937413283329505</v>
      </c>
      <c r="H189" s="307">
        <f t="shared" ca="1" si="70"/>
        <v>153.80072474072992</v>
      </c>
      <c r="I189" s="304">
        <f t="shared" ca="1" si="71"/>
        <v>158.1740668720295</v>
      </c>
      <c r="J189" s="306">
        <f t="shared" ca="1" si="72"/>
        <v>175.03067882019394</v>
      </c>
      <c r="K189" s="307">
        <f t="shared" ca="1" si="73"/>
        <v>824.40884798509182</v>
      </c>
      <c r="L189" s="304">
        <f t="shared" ca="1" si="58"/>
        <v>842.78448441126636</v>
      </c>
      <c r="M189" s="306">
        <f t="shared" ca="1" si="74"/>
        <v>1.335096185245769</v>
      </c>
      <c r="N189" s="304">
        <f t="shared" ca="1" si="75"/>
        <v>76.4953766585989</v>
      </c>
      <c r="P189" s="310">
        <f t="shared" ca="1" si="76"/>
        <v>13</v>
      </c>
      <c r="Q189" s="304">
        <f t="shared" ca="1" si="77"/>
        <v>0</v>
      </c>
      <c r="R189" s="306">
        <f t="shared" ca="1" si="78"/>
        <v>0</v>
      </c>
      <c r="S189" s="307">
        <f t="shared" ca="1" si="79"/>
        <v>2.6792999999999987</v>
      </c>
      <c r="T189" s="304">
        <f t="shared" ca="1" si="59"/>
        <v>26.283932999999987</v>
      </c>
      <c r="U189" s="311">
        <f t="shared" ca="1" si="60"/>
        <v>0</v>
      </c>
      <c r="V189" s="306">
        <f t="shared" ca="1" si="61"/>
        <v>1.1280079704875319</v>
      </c>
      <c r="W189" s="304">
        <f t="shared" ca="1" si="62"/>
        <v>57.790386623075847</v>
      </c>
      <c r="Y189" s="314" t="str">
        <f t="shared" ca="1" si="80"/>
        <v/>
      </c>
      <c r="Z189" s="315" t="str">
        <f t="shared" ca="1" si="81"/>
        <v/>
      </c>
      <c r="AA189" s="316" t="str">
        <f t="shared" ca="1" si="82"/>
        <v/>
      </c>
      <c r="AC189" s="310" t="e">
        <f t="shared" ca="1" si="83"/>
        <v>#N/A</v>
      </c>
      <c r="AD189" s="323" t="e">
        <f t="shared" ca="1" si="84"/>
        <v>#N/A</v>
      </c>
      <c r="AE189" s="324">
        <f t="shared" ca="1" si="63"/>
        <v>824.40884798509182</v>
      </c>
      <c r="AG189" s="306">
        <f t="shared" ca="1" si="85"/>
        <v>-31.196811899455099</v>
      </c>
      <c r="AH189" s="304">
        <f t="shared" ca="1" si="86"/>
        <v>-21.657716313784675</v>
      </c>
    </row>
    <row r="190" spans="1:34" x14ac:dyDescent="0.2">
      <c r="A190" s="347">
        <f t="shared" ca="1" si="64"/>
        <v>0.01</v>
      </c>
      <c r="B190" s="304">
        <f t="shared" ca="1" si="65"/>
        <v>5.0599999999999605</v>
      </c>
      <c r="D190" s="306">
        <f t="shared" ca="1" si="66"/>
        <v>-5.0369246426802787</v>
      </c>
      <c r="E190" s="307">
        <f t="shared" ca="1" si="67"/>
        <v>-30.782845460683539</v>
      </c>
      <c r="F190" s="304">
        <f t="shared" ca="1" si="68"/>
        <v>31.192213523768476</v>
      </c>
      <c r="G190" s="306">
        <f t="shared" ca="1" si="69"/>
        <v>36.887044036902701</v>
      </c>
      <c r="H190" s="307">
        <f t="shared" ca="1" si="70"/>
        <v>153.49289628612308</v>
      </c>
      <c r="I190" s="304">
        <f t="shared" ca="1" si="71"/>
        <v>157.86298878484132</v>
      </c>
      <c r="J190" s="306">
        <f t="shared" ca="1" si="72"/>
        <v>175.39980110679511</v>
      </c>
      <c r="K190" s="307">
        <f t="shared" ca="1" si="73"/>
        <v>825.94531609022613</v>
      </c>
      <c r="L190" s="304">
        <f t="shared" ca="1" si="58"/>
        <v>844.3641130458393</v>
      </c>
      <c r="M190" s="306">
        <f t="shared" ca="1" si="74"/>
        <v>1.3349510677131817</v>
      </c>
      <c r="N190" s="304">
        <f t="shared" ca="1" si="75"/>
        <v>76.487062036448293</v>
      </c>
      <c r="P190" s="310">
        <f t="shared" ca="1" si="76"/>
        <v>13</v>
      </c>
      <c r="Q190" s="304">
        <f t="shared" ca="1" si="77"/>
        <v>0</v>
      </c>
      <c r="R190" s="306">
        <f t="shared" ca="1" si="78"/>
        <v>0</v>
      </c>
      <c r="S190" s="307">
        <f t="shared" ca="1" si="79"/>
        <v>2.6792999999999987</v>
      </c>
      <c r="T190" s="304">
        <f t="shared" ca="1" si="59"/>
        <v>26.283932999999987</v>
      </c>
      <c r="U190" s="311">
        <f t="shared" ca="1" si="60"/>
        <v>0</v>
      </c>
      <c r="V190" s="306">
        <f t="shared" ca="1" si="61"/>
        <v>1.1278343734842309</v>
      </c>
      <c r="W190" s="304">
        <f t="shared" ca="1" si="62"/>
        <v>57.554440705730485</v>
      </c>
      <c r="Y190" s="314" t="str">
        <f t="shared" ca="1" si="80"/>
        <v/>
      </c>
      <c r="Z190" s="315" t="str">
        <f t="shared" ca="1" si="81"/>
        <v/>
      </c>
      <c r="AA190" s="316" t="str">
        <f t="shared" ca="1" si="82"/>
        <v/>
      </c>
      <c r="AC190" s="310" t="e">
        <f t="shared" ca="1" si="83"/>
        <v>#N/A</v>
      </c>
      <c r="AD190" s="323" t="e">
        <f t="shared" ca="1" si="84"/>
        <v>#N/A</v>
      </c>
      <c r="AE190" s="324">
        <f t="shared" ca="1" si="63"/>
        <v>825.94531609022613</v>
      </c>
      <c r="AG190" s="306">
        <f t="shared" ca="1" si="85"/>
        <v>-31.107974941426956</v>
      </c>
      <c r="AH190" s="304">
        <f t="shared" ca="1" si="86"/>
        <v>-21.569210847264536</v>
      </c>
    </row>
    <row r="191" spans="1:34" x14ac:dyDescent="0.2">
      <c r="A191" s="347">
        <f t="shared" ca="1" si="64"/>
        <v>0.01</v>
      </c>
      <c r="B191" s="304">
        <f t="shared" ca="1" si="65"/>
        <v>5.0699999999999603</v>
      </c>
      <c r="D191" s="306">
        <f t="shared" ca="1" si="66"/>
        <v>-5.019390994095688</v>
      </c>
      <c r="E191" s="307">
        <f t="shared" ca="1" si="67"/>
        <v>-30.696489589826228</v>
      </c>
      <c r="F191" s="304">
        <f t="shared" ca="1" si="68"/>
        <v>31.10415983578272</v>
      </c>
      <c r="G191" s="306">
        <f t="shared" ca="1" si="69"/>
        <v>36.836850126961743</v>
      </c>
      <c r="H191" s="307">
        <f t="shared" ca="1" si="70"/>
        <v>153.18593139022482</v>
      </c>
      <c r="I191" s="304">
        <f t="shared" ca="1" si="71"/>
        <v>157.55279465362366</v>
      </c>
      <c r="J191" s="306">
        <f t="shared" ca="1" si="72"/>
        <v>175.76842057761442</v>
      </c>
      <c r="K191" s="307">
        <f t="shared" ca="1" si="73"/>
        <v>827.47871022860784</v>
      </c>
      <c r="L191" s="304">
        <f t="shared" ca="1" si="58"/>
        <v>845.94063240510525</v>
      </c>
      <c r="M191" s="306">
        <f t="shared" ca="1" si="74"/>
        <v>1.3348055766119415</v>
      </c>
      <c r="N191" s="304">
        <f t="shared" ca="1" si="75"/>
        <v>76.478726010390517</v>
      </c>
      <c r="P191" s="310">
        <f t="shared" ca="1" si="76"/>
        <v>13</v>
      </c>
      <c r="Q191" s="304">
        <f t="shared" ca="1" si="77"/>
        <v>0</v>
      </c>
      <c r="R191" s="306">
        <f t="shared" ca="1" si="78"/>
        <v>0</v>
      </c>
      <c r="S191" s="307">
        <f t="shared" ca="1" si="79"/>
        <v>2.6792999999999987</v>
      </c>
      <c r="T191" s="304">
        <f t="shared" ca="1" si="59"/>
        <v>26.283932999999987</v>
      </c>
      <c r="U191" s="311">
        <f t="shared" ca="1" si="60"/>
        <v>0</v>
      </c>
      <c r="V191" s="306">
        <f t="shared" ca="1" si="61"/>
        <v>1.1276611493274775</v>
      </c>
      <c r="W191" s="304">
        <f t="shared" ca="1" si="62"/>
        <v>57.319673732953021</v>
      </c>
      <c r="Y191" s="314" t="str">
        <f t="shared" ca="1" si="80"/>
        <v/>
      </c>
      <c r="Z191" s="315" t="str">
        <f t="shared" ca="1" si="81"/>
        <v/>
      </c>
      <c r="AA191" s="316" t="str">
        <f t="shared" ca="1" si="82"/>
        <v/>
      </c>
      <c r="AC191" s="310" t="e">
        <f t="shared" ca="1" si="83"/>
        <v>#N/A</v>
      </c>
      <c r="AD191" s="323" t="e">
        <f t="shared" ca="1" si="84"/>
        <v>#N/A</v>
      </c>
      <c r="AE191" s="324">
        <f t="shared" ca="1" si="63"/>
        <v>827.47871022860784</v>
      </c>
      <c r="AG191" s="306">
        <f t="shared" ca="1" si="85"/>
        <v>-31.019579872968364</v>
      </c>
      <c r="AH191" s="304">
        <f t="shared" ca="1" si="86"/>
        <v>-21.481148324461806</v>
      </c>
    </row>
    <row r="192" spans="1:34" x14ac:dyDescent="0.2">
      <c r="A192" s="347">
        <f t="shared" ca="1" si="64"/>
        <v>0.01</v>
      </c>
      <c r="B192" s="304">
        <f t="shared" ca="1" si="65"/>
        <v>5.0799999999999601</v>
      </c>
      <c r="D192" s="306">
        <f t="shared" ca="1" si="66"/>
        <v>-5.001943038194268</v>
      </c>
      <c r="E192" s="307">
        <f t="shared" ca="1" si="67"/>
        <v>-30.61056520646482</v>
      </c>
      <c r="F192" s="304">
        <f t="shared" ca="1" si="68"/>
        <v>31.016546171625475</v>
      </c>
      <c r="G192" s="306">
        <f t="shared" ca="1" si="69"/>
        <v>36.786830696579798</v>
      </c>
      <c r="H192" s="307">
        <f t="shared" ca="1" si="70"/>
        <v>152.87982573816018</v>
      </c>
      <c r="I192" s="304">
        <f t="shared" ca="1" si="71"/>
        <v>157.24348008877521</v>
      </c>
      <c r="J192" s="306">
        <f t="shared" ca="1" si="72"/>
        <v>176.13653898173212</v>
      </c>
      <c r="K192" s="307">
        <f t="shared" ca="1" si="73"/>
        <v>829.00903901424977</v>
      </c>
      <c r="L192" s="304">
        <f t="shared" ca="1" si="58"/>
        <v>847.51405128870465</v>
      </c>
      <c r="M192" s="306">
        <f t="shared" ca="1" si="74"/>
        <v>1.3346597110605587</v>
      </c>
      <c r="N192" s="304">
        <f t="shared" ca="1" si="75"/>
        <v>76.470368529919938</v>
      </c>
      <c r="P192" s="310">
        <f t="shared" ca="1" si="76"/>
        <v>13</v>
      </c>
      <c r="Q192" s="304">
        <f t="shared" ca="1" si="77"/>
        <v>0</v>
      </c>
      <c r="R192" s="306">
        <f t="shared" ca="1" si="78"/>
        <v>0</v>
      </c>
      <c r="S192" s="307">
        <f t="shared" ca="1" si="79"/>
        <v>2.6792999999999987</v>
      </c>
      <c r="T192" s="304">
        <f t="shared" ca="1" si="59"/>
        <v>26.283932999999987</v>
      </c>
      <c r="U192" s="311">
        <f t="shared" ca="1" si="60"/>
        <v>0</v>
      </c>
      <c r="V192" s="306">
        <f t="shared" ca="1" si="61"/>
        <v>1.1274882968853406</v>
      </c>
      <c r="W192" s="304">
        <f t="shared" ca="1" si="62"/>
        <v>57.086077935349905</v>
      </c>
      <c r="Y192" s="314" t="str">
        <f t="shared" ca="1" si="80"/>
        <v/>
      </c>
      <c r="Z192" s="315" t="str">
        <f t="shared" ca="1" si="81"/>
        <v/>
      </c>
      <c r="AA192" s="316" t="str">
        <f t="shared" ca="1" si="82"/>
        <v/>
      </c>
      <c r="AC192" s="310" t="e">
        <f t="shared" ca="1" si="83"/>
        <v>#N/A</v>
      </c>
      <c r="AD192" s="323" t="e">
        <f t="shared" ca="1" si="84"/>
        <v>#N/A</v>
      </c>
      <c r="AE192" s="324">
        <f t="shared" ca="1" si="63"/>
        <v>829.00903901424977</v>
      </c>
      <c r="AG192" s="306">
        <f t="shared" ca="1" si="85"/>
        <v>-30.931623766427418</v>
      </c>
      <c r="AH192" s="304">
        <f t="shared" ca="1" si="86"/>
        <v>-21.393525821279084</v>
      </c>
    </row>
    <row r="193" spans="1:34" x14ac:dyDescent="0.2">
      <c r="A193" s="347">
        <f t="shared" ca="1" si="64"/>
        <v>0.01</v>
      </c>
      <c r="B193" s="304">
        <f t="shared" ca="1" si="65"/>
        <v>5.0899999999999599</v>
      </c>
      <c r="D193" s="306">
        <f t="shared" ca="1" si="66"/>
        <v>-4.9845802065139484</v>
      </c>
      <c r="E193" s="307">
        <f t="shared" ca="1" si="67"/>
        <v>-30.525069466981414</v>
      </c>
      <c r="F193" s="304">
        <f t="shared" ca="1" si="68"/>
        <v>30.929369631455657</v>
      </c>
      <c r="G193" s="306">
        <f t="shared" ca="1" si="69"/>
        <v>36.736984894514656</v>
      </c>
      <c r="H193" s="307">
        <f t="shared" ca="1" si="70"/>
        <v>152.57457504349037</v>
      </c>
      <c r="I193" s="304">
        <f t="shared" ca="1" si="71"/>
        <v>156.93504072972826</v>
      </c>
      <c r="J193" s="306">
        <f t="shared" ca="1" si="72"/>
        <v>176.5041580596876</v>
      </c>
      <c r="K193" s="307">
        <f t="shared" ca="1" si="73"/>
        <v>830.53631101815802</v>
      </c>
      <c r="L193" s="304">
        <f t="shared" ca="1" si="58"/>
        <v>849.08437845246556</v>
      </c>
      <c r="M193" s="306">
        <f t="shared" ca="1" si="74"/>
        <v>1.3345134701740533</v>
      </c>
      <c r="N193" s="304">
        <f t="shared" ca="1" si="75"/>
        <v>76.461989544330919</v>
      </c>
      <c r="P193" s="310">
        <f t="shared" ca="1" si="76"/>
        <v>13</v>
      </c>
      <c r="Q193" s="304">
        <f t="shared" ca="1" si="77"/>
        <v>0</v>
      </c>
      <c r="R193" s="306">
        <f t="shared" ca="1" si="78"/>
        <v>0</v>
      </c>
      <c r="S193" s="307">
        <f t="shared" ca="1" si="79"/>
        <v>2.6792999999999987</v>
      </c>
      <c r="T193" s="304">
        <f t="shared" ca="1" si="59"/>
        <v>26.283932999999987</v>
      </c>
      <c r="U193" s="311">
        <f t="shared" ca="1" si="60"/>
        <v>0</v>
      </c>
      <c r="V193" s="306">
        <f t="shared" ca="1" si="61"/>
        <v>1.1273158150316955</v>
      </c>
      <c r="W193" s="304">
        <f t="shared" ca="1" si="62"/>
        <v>56.853645608017935</v>
      </c>
      <c r="Y193" s="314" t="str">
        <f t="shared" ca="1" si="80"/>
        <v/>
      </c>
      <c r="Z193" s="315" t="str">
        <f t="shared" ca="1" si="81"/>
        <v/>
      </c>
      <c r="AA193" s="316" t="str">
        <f t="shared" ca="1" si="82"/>
        <v/>
      </c>
      <c r="AC193" s="310" t="e">
        <f t="shared" ca="1" si="83"/>
        <v>#N/A</v>
      </c>
      <c r="AD193" s="323" t="e">
        <f t="shared" ca="1" si="84"/>
        <v>#N/A</v>
      </c>
      <c r="AE193" s="324">
        <f t="shared" ca="1" si="63"/>
        <v>830.53631101815802</v>
      </c>
      <c r="AG193" s="306">
        <f t="shared" ca="1" si="85"/>
        <v>-30.844103718448046</v>
      </c>
      <c r="AH193" s="304">
        <f t="shared" ca="1" si="86"/>
        <v>-21.306340437931524</v>
      </c>
    </row>
    <row r="194" spans="1:34" x14ac:dyDescent="0.2">
      <c r="A194" s="347">
        <f t="shared" ca="1" si="64"/>
        <v>0.01</v>
      </c>
      <c r="B194" s="304">
        <f t="shared" ca="1" si="65"/>
        <v>5.0999999999999597</v>
      </c>
      <c r="D194" s="306">
        <f t="shared" ca="1" si="66"/>
        <v>-4.9673019353072316</v>
      </c>
      <c r="E194" s="307">
        <f t="shared" ca="1" si="67"/>
        <v>-30.439999551361403</v>
      </c>
      <c r="F194" s="304">
        <f t="shared" ca="1" si="68"/>
        <v>30.842627339501892</v>
      </c>
      <c r="G194" s="306">
        <f t="shared" ca="1" si="69"/>
        <v>36.687311875161583</v>
      </c>
      <c r="H194" s="307">
        <f t="shared" ca="1" si="70"/>
        <v>152.27017504797675</v>
      </c>
      <c r="I194" s="304">
        <f t="shared" ca="1" si="71"/>
        <v>156.62747224470826</v>
      </c>
      <c r="J194" s="306">
        <f t="shared" ca="1" si="72"/>
        <v>176.87127954353599</v>
      </c>
      <c r="K194" s="307">
        <f t="shared" ca="1" si="73"/>
        <v>832.0605347686153</v>
      </c>
      <c r="L194" s="304">
        <f t="shared" ca="1" si="58"/>
        <v>850.65162260869272</v>
      </c>
      <c r="M194" s="306">
        <f t="shared" ca="1" si="74"/>
        <v>1.3343668530639414</v>
      </c>
      <c r="N194" s="304">
        <f t="shared" ca="1" si="75"/>
        <v>76.453589002717109</v>
      </c>
      <c r="P194" s="310">
        <f t="shared" ca="1" si="76"/>
        <v>13</v>
      </c>
      <c r="Q194" s="304">
        <f t="shared" ca="1" si="77"/>
        <v>0</v>
      </c>
      <c r="R194" s="306">
        <f t="shared" ca="1" si="78"/>
        <v>0</v>
      </c>
      <c r="S194" s="307">
        <f t="shared" ca="1" si="79"/>
        <v>2.6792999999999987</v>
      </c>
      <c r="T194" s="304">
        <f t="shared" ca="1" si="59"/>
        <v>26.283932999999987</v>
      </c>
      <c r="U194" s="311">
        <f t="shared" ca="1" si="60"/>
        <v>0</v>
      </c>
      <c r="V194" s="306">
        <f t="shared" ca="1" si="61"/>
        <v>1.1271437026461797</v>
      </c>
      <c r="W194" s="304">
        <f t="shared" ca="1" si="62"/>
        <v>56.622369109901364</v>
      </c>
      <c r="Y194" s="314" t="str">
        <f t="shared" ca="1" si="80"/>
        <v/>
      </c>
      <c r="Z194" s="315" t="str">
        <f t="shared" ca="1" si="81"/>
        <v/>
      </c>
      <c r="AA194" s="316" t="str">
        <f t="shared" ca="1" si="82"/>
        <v/>
      </c>
      <c r="AC194" s="310" t="e">
        <f t="shared" ca="1" si="83"/>
        <v>#N/A</v>
      </c>
      <c r="AD194" s="323" t="e">
        <f t="shared" ca="1" si="84"/>
        <v>#N/A</v>
      </c>
      <c r="AE194" s="324">
        <f t="shared" ca="1" si="63"/>
        <v>832.0605347686153</v>
      </c>
      <c r="AG194" s="306">
        <f t="shared" ca="1" si="85"/>
        <v>-30.757016849727211</v>
      </c>
      <c r="AH194" s="304">
        <f t="shared" ca="1" si="86"/>
        <v>-21.219589298704125</v>
      </c>
    </row>
    <row r="195" spans="1:34" x14ac:dyDescent="0.2">
      <c r="A195" s="347">
        <f t="shared" ca="1" si="64"/>
        <v>0.01</v>
      </c>
      <c r="B195" s="304">
        <f t="shared" ca="1" si="65"/>
        <v>5.1099999999999595</v>
      </c>
      <c r="D195" s="306">
        <f t="shared" ca="1" si="66"/>
        <v>-4.9501076654941745</v>
      </c>
      <c r="E195" s="307">
        <f t="shared" ca="1" si="67"/>
        <v>-30.355352662958218</v>
      </c>
      <c r="F195" s="304">
        <f t="shared" ca="1" si="68"/>
        <v>30.756316443822541</v>
      </c>
      <c r="G195" s="306">
        <f t="shared" ca="1" si="69"/>
        <v>36.637810798506642</v>
      </c>
      <c r="H195" s="307">
        <f t="shared" ca="1" si="70"/>
        <v>151.96662152134718</v>
      </c>
      <c r="I195" s="304">
        <f t="shared" ca="1" si="71"/>
        <v>156.32077033049558</v>
      </c>
      <c r="J195" s="306">
        <f t="shared" ca="1" si="72"/>
        <v>177.23790515690433</v>
      </c>
      <c r="K195" s="307">
        <f t="shared" ca="1" si="73"/>
        <v>833.58171875146195</v>
      </c>
      <c r="L195" s="304">
        <f t="shared" ca="1" si="58"/>
        <v>852.21579242645419</v>
      </c>
      <c r="M195" s="306">
        <f t="shared" ca="1" si="74"/>
        <v>1.3342198588382199</v>
      </c>
      <c r="N195" s="304">
        <f t="shared" ca="1" si="75"/>
        <v>76.445166853970463</v>
      </c>
      <c r="P195" s="310">
        <f t="shared" ca="1" si="76"/>
        <v>13</v>
      </c>
      <c r="Q195" s="304">
        <f t="shared" ca="1" si="77"/>
        <v>0</v>
      </c>
      <c r="R195" s="306">
        <f t="shared" ca="1" si="78"/>
        <v>0</v>
      </c>
      <c r="S195" s="307">
        <f t="shared" ca="1" si="79"/>
        <v>2.6792999999999987</v>
      </c>
      <c r="T195" s="304">
        <f t="shared" ca="1" si="59"/>
        <v>26.283932999999987</v>
      </c>
      <c r="U195" s="311">
        <f t="shared" ca="1" si="60"/>
        <v>0</v>
      </c>
      <c r="V195" s="306">
        <f t="shared" ca="1" si="61"/>
        <v>1.1269719586141584</v>
      </c>
      <c r="W195" s="304">
        <f t="shared" ca="1" si="62"/>
        <v>56.392240863156758</v>
      </c>
      <c r="Y195" s="314" t="str">
        <f t="shared" ca="1" si="80"/>
        <v/>
      </c>
      <c r="Z195" s="315" t="str">
        <f t="shared" ca="1" si="81"/>
        <v/>
      </c>
      <c r="AA195" s="316" t="str">
        <f t="shared" ca="1" si="82"/>
        <v/>
      </c>
      <c r="AC195" s="310" t="e">
        <f t="shared" ca="1" si="83"/>
        <v>#N/A</v>
      </c>
      <c r="AD195" s="323" t="e">
        <f t="shared" ca="1" si="84"/>
        <v>#N/A</v>
      </c>
      <c r="AE195" s="324">
        <f t="shared" ca="1" si="63"/>
        <v>833.58171875146195</v>
      </c>
      <c r="AG195" s="306">
        <f t="shared" ca="1" si="85"/>
        <v>-30.670360304774874</v>
      </c>
      <c r="AH195" s="304">
        <f t="shared" ca="1" si="86"/>
        <v>-21.133269551711788</v>
      </c>
    </row>
    <row r="196" spans="1:34" x14ac:dyDescent="0.2">
      <c r="A196" s="347">
        <f t="shared" ca="1" si="64"/>
        <v>0.01</v>
      </c>
      <c r="B196" s="304">
        <f t="shared" ca="1" si="65"/>
        <v>5.1199999999999593</v>
      </c>
      <c r="D196" s="306">
        <f t="shared" ca="1" si="66"/>
        <v>-4.9329968426159576</v>
      </c>
      <c r="E196" s="307">
        <f t="shared" ca="1" si="67"/>
        <v>-30.271126028260838</v>
      </c>
      <c r="F196" s="304">
        <f t="shared" ca="1" si="68"/>
        <v>30.670434116068684</v>
      </c>
      <c r="G196" s="306">
        <f t="shared" ca="1" si="69"/>
        <v>36.588480830080485</v>
      </c>
      <c r="H196" s="307">
        <f t="shared" ca="1" si="70"/>
        <v>151.66391026106456</v>
      </c>
      <c r="I196" s="304">
        <f t="shared" ca="1" si="71"/>
        <v>156.01493071218988</v>
      </c>
      <c r="J196" s="306">
        <f t="shared" ca="1" si="72"/>
        <v>177.60403661504728</v>
      </c>
      <c r="K196" s="307">
        <f t="shared" ca="1" si="73"/>
        <v>835.09987141037402</v>
      </c>
      <c r="L196" s="304">
        <f t="shared" ref="L196:L259" ca="1" si="87">SQRT(pos_x^2+pos_z^2)</f>
        <v>853.77689653186462</v>
      </c>
      <c r="M196" s="306">
        <f t="shared" ca="1" si="74"/>
        <v>1.3340724866013522</v>
      </c>
      <c r="N196" s="304">
        <f t="shared" ca="1" si="75"/>
        <v>76.436723046780543</v>
      </c>
      <c r="P196" s="310">
        <f t="shared" ca="1" si="76"/>
        <v>13</v>
      </c>
      <c r="Q196" s="304">
        <f t="shared" ca="1" si="77"/>
        <v>0</v>
      </c>
      <c r="R196" s="306">
        <f t="shared" ca="1" si="78"/>
        <v>0</v>
      </c>
      <c r="S196" s="307">
        <f t="shared" ca="1" si="79"/>
        <v>2.6792999999999987</v>
      </c>
      <c r="T196" s="304">
        <f t="shared" ref="T196:T259" ca="1" si="88">m*g</f>
        <v>26.283932999999987</v>
      </c>
      <c r="U196" s="311">
        <f t="shared" ref="U196:U259" ca="1" si="89">IF(pos_xz&lt;L_rampe,Poids*COS(Beta),0)</f>
        <v>0</v>
      </c>
      <c r="V196" s="306">
        <f t="shared" ref="V196:V259" ca="1" si="90">Rho_moyen*(20000-Alt_rampe-pos_z)/(20000+Alt_rampe+pos_z)</f>
        <v>1.1268005818266849</v>
      </c>
      <c r="W196" s="304">
        <f t="shared" ref="W196:W259" ca="1" si="91">1/2*Rho*Sref*Cx*vit_xz^2</f>
        <v>56.163253352525189</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835.09987141037402</v>
      </c>
      <c r="AG196" s="306">
        <f t="shared" ca="1" si="85"/>
        <v>-30.584131251676851</v>
      </c>
      <c r="AH196" s="304">
        <f t="shared" ca="1" si="86"/>
        <v>-21.047378368662258</v>
      </c>
    </row>
    <row r="197" spans="1:34" x14ac:dyDescent="0.2">
      <c r="A197" s="347">
        <f t="shared" ref="A197:A260" ca="1" si="93">IF(B196+0.01&lt;=T_ini+ROUNDUP(Temps_fin_propu,0), 0.01, IF(K196&gt;0, 0.1, 0.0001))</f>
        <v>0.01</v>
      </c>
      <c r="B197" s="304">
        <f t="shared" ref="B197:B260" ca="1" si="94">B196+pas</f>
        <v>5.129999999999959</v>
      </c>
      <c r="D197" s="306">
        <f t="shared" ref="D197:D260" ca="1" si="95">IF(AND(L196&lt;L_rampe,Poussee&lt;Poids*SIN(M196)),0,(-W196+Poussee)/m*COS(M196)-U196/m*SIN(M196))</f>
        <v>-4.915968916788974</v>
      </c>
      <c r="E197" s="307">
        <f t="shared" ref="E197:E260" ca="1" si="96">IF(AND(L196&lt;L_rampe,Poussee&lt;Poids*SIN(M196)),0,(-W196+Poussee)/m*SIN(M196)+U196/m*COS(M196)-Poids/m)</f>
        <v>-30.187316896664001</v>
      </c>
      <c r="F197" s="304">
        <f t="shared" ref="F197:F260" ca="1" si="97">SQRT(acc_x^2+acc_z^2)</f>
        <v>30.58497755124975</v>
      </c>
      <c r="G197" s="306">
        <f t="shared" ref="G197:G260" ca="1" si="98">G196+acc_x*pas</f>
        <v>36.539321140912598</v>
      </c>
      <c r="H197" s="307">
        <f t="shared" ref="H197:H260" ca="1" si="99">H196+acc_z*pas</f>
        <v>151.36203709209792</v>
      </c>
      <c r="I197" s="304">
        <f t="shared" ref="I197:I260" ca="1" si="100">SQRT(vit_x^2+vit_z^2)</f>
        <v>155.70994914297663</v>
      </c>
      <c r="J197" s="306">
        <f t="shared" ref="J197:J260" ca="1" si="101">J196+0.5*(vit_x+G196)*pas*(K196&gt;=0)</f>
        <v>177.96967562490224</v>
      </c>
      <c r="K197" s="307">
        <f t="shared" ref="K197:K260" ca="1" si="102">K196+0.5*(vit_z+H196)*pas</f>
        <v>836.61500114713988</v>
      </c>
      <c r="L197" s="304">
        <f t="shared" ca="1" si="87"/>
        <v>855.33494350836725</v>
      </c>
      <c r="M197" s="306">
        <f t="shared" ref="M197:M260" ca="1" si="103">IF(AND(L196&gt;L_rampe,G197&gt;0),ATAN2(G197,H197),$M$4)</f>
        <v>1.3339247354542532</v>
      </c>
      <c r="N197" s="304">
        <f t="shared" ref="N197:N260" ca="1" si="104">DEGREES(Beta)</f>
        <v>76.428257529633555</v>
      </c>
      <c r="P197" s="310">
        <f t="shared" ref="P197:P260" ca="1" si="105">MATCH(t-pas/2-T_ini,CdP_t)</f>
        <v>13</v>
      </c>
      <c r="Q197" s="304">
        <f t="shared" ref="Q197:Q260" ca="1" si="106">(INDEX(CdP,2,i_P+1)-INDEX(CdP,2,i_P+0))/(INDEX(CdP,1,i_P+1)-INDEX(CdP,1,i_P+0))*(t-pas/2-T_ini-INDEX(CdP,1,i_P+0))+INDEX(CdP,2,i_P+0)</f>
        <v>0</v>
      </c>
      <c r="R197" s="306">
        <f t="shared" ref="R197:R260" ca="1" si="107">Poussee/(g*ISP)</f>
        <v>0</v>
      </c>
      <c r="S197" s="307">
        <f t="shared" ref="S197:S260" ca="1" si="108">S196-Débit*pas</f>
        <v>2.6792999999999987</v>
      </c>
      <c r="T197" s="304">
        <f t="shared" ca="1" si="88"/>
        <v>26.283932999999987</v>
      </c>
      <c r="U197" s="311">
        <f t="shared" ca="1" si="89"/>
        <v>0</v>
      </c>
      <c r="V197" s="306">
        <f t="shared" ca="1" si="90"/>
        <v>1.1266295711804606</v>
      </c>
      <c r="W197" s="304">
        <f t="shared" ca="1" si="91"/>
        <v>55.935399124711417</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836.61500114713988</v>
      </c>
      <c r="AG197" s="306">
        <f t="shared" ref="AG197:AG260" ca="1" si="114">IF(AND(L196&lt;L_rampe,Poussee&lt;Poids*SIN(M196)),0,(-W196+Poussee)/m-Poids*SIN(M196)/m)</f>
        <v>-30.498326881860422</v>
      </c>
      <c r="AH197" s="304">
        <f t="shared" ref="AH197:AH260" ca="1" si="115">IF(AND(L196&lt;L_rampe,Poussee&lt;Poids*SIN(M196)), g*SIN(M196), (-W196+Poussee)/m)</f>
        <v>-20.961912944621812</v>
      </c>
    </row>
    <row r="198" spans="1:34" x14ac:dyDescent="0.2">
      <c r="A198" s="347">
        <f t="shared" ca="1" si="93"/>
        <v>0.01</v>
      </c>
      <c r="B198" s="304">
        <f t="shared" ca="1" si="94"/>
        <v>5.1399999999999588</v>
      </c>
      <c r="D198" s="306">
        <f t="shared" ca="1" si="95"/>
        <v>-4.8990233426594392</v>
      </c>
      <c r="E198" s="307">
        <f t="shared" ca="1" si="96"/>
        <v>-30.10392254024103</v>
      </c>
      <c r="F198" s="304">
        <f t="shared" ca="1" si="97"/>
        <v>30.499943967501874</v>
      </c>
      <c r="G198" s="306">
        <f t="shared" ca="1" si="98"/>
        <v>36.490330907486005</v>
      </c>
      <c r="H198" s="307">
        <f t="shared" ca="1" si="99"/>
        <v>151.06099786669552</v>
      </c>
      <c r="I198" s="304">
        <f t="shared" ca="1" si="100"/>
        <v>155.405821403896</v>
      </c>
      <c r="J198" s="306">
        <f t="shared" ca="1" si="101"/>
        <v>178.33482388514423</v>
      </c>
      <c r="K198" s="307">
        <f t="shared" ca="1" si="102"/>
        <v>838.12711632193384</v>
      </c>
      <c r="L198" s="304">
        <f t="shared" ca="1" si="87"/>
        <v>856.8899418970127</v>
      </c>
      <c r="M198" s="306">
        <f t="shared" ca="1" si="103"/>
        <v>1.333776604494274</v>
      </c>
      <c r="N198" s="304">
        <f t="shared" ca="1" si="104"/>
        <v>76.419770250811524</v>
      </c>
      <c r="P198" s="310">
        <f t="shared" ca="1" si="105"/>
        <v>13</v>
      </c>
      <c r="Q198" s="304">
        <f t="shared" ca="1" si="106"/>
        <v>0</v>
      </c>
      <c r="R198" s="306">
        <f t="shared" ca="1" si="107"/>
        <v>0</v>
      </c>
      <c r="S198" s="307">
        <f t="shared" ca="1" si="108"/>
        <v>2.6792999999999987</v>
      </c>
      <c r="T198" s="304">
        <f t="shared" ca="1" si="88"/>
        <v>26.283932999999987</v>
      </c>
      <c r="U198" s="311">
        <f t="shared" ca="1" si="89"/>
        <v>0</v>
      </c>
      <c r="V198" s="306">
        <f t="shared" ca="1" si="90"/>
        <v>1.1264589255778001</v>
      </c>
      <c r="W198" s="304">
        <f t="shared" ca="1" si="91"/>
        <v>55.708670787770778</v>
      </c>
      <c r="Y198" s="314" t="str">
        <f t="shared" ca="1" si="109"/>
        <v/>
      </c>
      <c r="Z198" s="315" t="str">
        <f t="shared" ca="1" si="110"/>
        <v/>
      </c>
      <c r="AA198" s="316" t="str">
        <f t="shared" ca="1" si="111"/>
        <v/>
      </c>
      <c r="AC198" s="310" t="e">
        <f t="shared" ca="1" si="112"/>
        <v>#N/A</v>
      </c>
      <c r="AD198" s="323" t="e">
        <f t="shared" ca="1" si="113"/>
        <v>#N/A</v>
      </c>
      <c r="AE198" s="324">
        <f t="shared" ca="1" si="92"/>
        <v>838.12711632193384</v>
      </c>
      <c r="AG198" s="306">
        <f t="shared" ca="1" si="114"/>
        <v>-30.412944409862497</v>
      </c>
      <c r="AH198" s="304">
        <f t="shared" ca="1" si="115"/>
        <v>-20.876870497783543</v>
      </c>
    </row>
    <row r="199" spans="1:34" x14ac:dyDescent="0.2">
      <c r="A199" s="347">
        <f t="shared" ca="1" si="93"/>
        <v>0.01</v>
      </c>
      <c r="B199" s="304">
        <f t="shared" ca="1" si="94"/>
        <v>5.1499999999999586</v>
      </c>
      <c r="D199" s="306">
        <f t="shared" ca="1" si="95"/>
        <v>-4.882159579358567</v>
      </c>
      <c r="E199" s="307">
        <f t="shared" ca="1" si="96"/>
        <v>-30.020940253519385</v>
      </c>
      <c r="F199" s="304">
        <f t="shared" ca="1" si="97"/>
        <v>30.415330605859001</v>
      </c>
      <c r="G199" s="306">
        <f t="shared" ca="1" si="98"/>
        <v>36.441509311692421</v>
      </c>
      <c r="H199" s="307">
        <f t="shared" ca="1" si="99"/>
        <v>150.76078846416033</v>
      </c>
      <c r="I199" s="304">
        <f t="shared" ca="1" si="100"/>
        <v>155.10254330361403</v>
      </c>
      <c r="J199" s="306">
        <f t="shared" ca="1" si="101"/>
        <v>178.69948308624012</v>
      </c>
      <c r="K199" s="307">
        <f t="shared" ca="1" si="102"/>
        <v>839.63622525358812</v>
      </c>
      <c r="L199" s="304">
        <f t="shared" ca="1" si="87"/>
        <v>858.44190019673636</v>
      </c>
      <c r="M199" s="306">
        <f t="shared" ca="1" si="103"/>
        <v>1.3336280928151876</v>
      </c>
      <c r="N199" s="304">
        <f t="shared" ca="1" si="104"/>
        <v>76.411261158391468</v>
      </c>
      <c r="P199" s="310">
        <f t="shared" ca="1" si="105"/>
        <v>13</v>
      </c>
      <c r="Q199" s="304">
        <f t="shared" ca="1" si="106"/>
        <v>0</v>
      </c>
      <c r="R199" s="306">
        <f t="shared" ca="1" si="107"/>
        <v>0</v>
      </c>
      <c r="S199" s="307">
        <f t="shared" ca="1" si="108"/>
        <v>2.6792999999999987</v>
      </c>
      <c r="T199" s="304">
        <f t="shared" ca="1" si="88"/>
        <v>26.283932999999987</v>
      </c>
      <c r="U199" s="311">
        <f t="shared" ca="1" si="89"/>
        <v>0</v>
      </c>
      <c r="V199" s="306">
        <f t="shared" ca="1" si="90"/>
        <v>1.1262886439265924</v>
      </c>
      <c r="W199" s="304">
        <f t="shared" ca="1" si="91"/>
        <v>55.483061010502595</v>
      </c>
      <c r="Y199" s="314" t="str">
        <f t="shared" ca="1" si="109"/>
        <v/>
      </c>
      <c r="Z199" s="315" t="str">
        <f t="shared" ca="1" si="110"/>
        <v/>
      </c>
      <c r="AA199" s="316" t="str">
        <f t="shared" ca="1" si="111"/>
        <v/>
      </c>
      <c r="AC199" s="310" t="e">
        <f t="shared" ca="1" si="112"/>
        <v>#N/A</v>
      </c>
      <c r="AD199" s="323" t="e">
        <f t="shared" ca="1" si="113"/>
        <v>#N/A</v>
      </c>
      <c r="AE199" s="324">
        <f t="shared" ca="1" si="92"/>
        <v>839.63622525358812</v>
      </c>
      <c r="AG199" s="306">
        <f t="shared" ca="1" si="114"/>
        <v>-30.327981073100744</v>
      </c>
      <c r="AH199" s="304">
        <f t="shared" ca="1" si="115"/>
        <v>-20.792248269238534</v>
      </c>
    </row>
    <row r="200" spans="1:34" x14ac:dyDescent="0.2">
      <c r="A200" s="347">
        <f t="shared" ca="1" si="93"/>
        <v>0.01</v>
      </c>
      <c r="B200" s="304">
        <f t="shared" ca="1" si="94"/>
        <v>5.1599999999999584</v>
      </c>
      <c r="D200" s="306">
        <f t="shared" ca="1" si="95"/>
        <v>-4.8653770904582121</v>
      </c>
      <c r="E200" s="307">
        <f t="shared" ca="1" si="96"/>
        <v>-29.938367353258691</v>
      </c>
      <c r="F200" s="304">
        <f t="shared" ca="1" si="97"/>
        <v>30.331134730026527</v>
      </c>
      <c r="G200" s="306">
        <f t="shared" ca="1" si="98"/>
        <v>36.392855540787842</v>
      </c>
      <c r="H200" s="307">
        <f t="shared" ca="1" si="99"/>
        <v>150.46140479062774</v>
      </c>
      <c r="I200" s="304">
        <f t="shared" ca="1" si="100"/>
        <v>154.80011067819621</v>
      </c>
      <c r="J200" s="306">
        <f t="shared" ca="1" si="101"/>
        <v>179.06365491050252</v>
      </c>
      <c r="K200" s="307">
        <f t="shared" ca="1" si="102"/>
        <v>841.14233621986205</v>
      </c>
      <c r="L200" s="304">
        <f t="shared" ca="1" si="87"/>
        <v>859.99082686463294</v>
      </c>
      <c r="M200" s="306">
        <f t="shared" ca="1" si="103"/>
        <v>1.3334791995071729</v>
      </c>
      <c r="N200" s="304">
        <f t="shared" ca="1" si="104"/>
        <v>76.402730200244491</v>
      </c>
      <c r="P200" s="310">
        <f t="shared" ca="1" si="105"/>
        <v>13</v>
      </c>
      <c r="Q200" s="304">
        <f t="shared" ca="1" si="106"/>
        <v>0</v>
      </c>
      <c r="R200" s="306">
        <f t="shared" ca="1" si="107"/>
        <v>0</v>
      </c>
      <c r="S200" s="307">
        <f t="shared" ca="1" si="108"/>
        <v>2.6792999999999987</v>
      </c>
      <c r="T200" s="304">
        <f t="shared" ca="1" si="88"/>
        <v>26.283932999999987</v>
      </c>
      <c r="U200" s="311">
        <f t="shared" ca="1" si="89"/>
        <v>0</v>
      </c>
      <c r="V200" s="306">
        <f t="shared" ca="1" si="90"/>
        <v>1.1261187251402629</v>
      </c>
      <c r="W200" s="304">
        <f t="shared" ca="1" si="91"/>
        <v>55.258562521851012</v>
      </c>
      <c r="Y200" s="314" t="str">
        <f t="shared" ca="1" si="109"/>
        <v/>
      </c>
      <c r="Z200" s="315" t="str">
        <f t="shared" ca="1" si="110"/>
        <v/>
      </c>
      <c r="AA200" s="316" t="str">
        <f t="shared" ca="1" si="111"/>
        <v/>
      </c>
      <c r="AC200" s="310" t="e">
        <f t="shared" ca="1" si="112"/>
        <v>#N/A</v>
      </c>
      <c r="AD200" s="323" t="e">
        <f t="shared" ca="1" si="113"/>
        <v>#N/A</v>
      </c>
      <c r="AE200" s="324">
        <f t="shared" ca="1" si="92"/>
        <v>841.14233621986205</v>
      </c>
      <c r="AG200" s="306">
        <f t="shared" ca="1" si="114"/>
        <v>-30.243434131647049</v>
      </c>
      <c r="AH200" s="304">
        <f t="shared" ca="1" si="115"/>
        <v>-20.70804352274946</v>
      </c>
    </row>
    <row r="201" spans="1:34" x14ac:dyDescent="0.2">
      <c r="A201" s="347">
        <f t="shared" ca="1" si="93"/>
        <v>0.01</v>
      </c>
      <c r="B201" s="304">
        <f t="shared" ca="1" si="94"/>
        <v>5.1699999999999582</v>
      </c>
      <c r="D201" s="306">
        <f t="shared" ca="1" si="95"/>
        <v>-4.8486753439270665</v>
      </c>
      <c r="E201" s="307">
        <f t="shared" ca="1" si="96"/>
        <v>-29.856201178231402</v>
      </c>
      <c r="F201" s="304">
        <f t="shared" ca="1" si="97"/>
        <v>30.247353626157651</v>
      </c>
      <c r="G201" s="306">
        <f t="shared" ca="1" si="98"/>
        <v>36.344368787348571</v>
      </c>
      <c r="H201" s="307">
        <f t="shared" ca="1" si="99"/>
        <v>150.16284277884543</v>
      </c>
      <c r="I201" s="304">
        <f t="shared" ca="1" si="100"/>
        <v>154.49851939088299</v>
      </c>
      <c r="J201" s="306">
        <f t="shared" ca="1" si="101"/>
        <v>179.4273410321432</v>
      </c>
      <c r="K201" s="307">
        <f t="shared" ca="1" si="102"/>
        <v>842.64545745770943</v>
      </c>
      <c r="L201" s="304">
        <f t="shared" ca="1" si="87"/>
        <v>861.53673031622827</v>
      </c>
      <c r="M201" s="306">
        <f t="shared" ca="1" si="103"/>
        <v>1.3333299236568004</v>
      </c>
      <c r="N201" s="304">
        <f t="shared" ca="1" si="104"/>
        <v>76.394177324034914</v>
      </c>
      <c r="P201" s="310">
        <f t="shared" ca="1" si="105"/>
        <v>13</v>
      </c>
      <c r="Q201" s="304">
        <f t="shared" ca="1" si="106"/>
        <v>0</v>
      </c>
      <c r="R201" s="306">
        <f t="shared" ca="1" si="107"/>
        <v>0</v>
      </c>
      <c r="S201" s="307">
        <f t="shared" ca="1" si="108"/>
        <v>2.6792999999999987</v>
      </c>
      <c r="T201" s="304">
        <f t="shared" ca="1" si="88"/>
        <v>26.283932999999987</v>
      </c>
      <c r="U201" s="311">
        <f t="shared" ca="1" si="89"/>
        <v>0</v>
      </c>
      <c r="V201" s="306">
        <f t="shared" ca="1" si="90"/>
        <v>1.1259491681377376</v>
      </c>
      <c r="W201" s="304">
        <f t="shared" ca="1" si="91"/>
        <v>55.03516811031249</v>
      </c>
      <c r="Y201" s="314" t="str">
        <f t="shared" ca="1" si="109"/>
        <v/>
      </c>
      <c r="Z201" s="315" t="str">
        <f t="shared" ca="1" si="110"/>
        <v/>
      </c>
      <c r="AA201" s="316" t="str">
        <f t="shared" ca="1" si="111"/>
        <v/>
      </c>
      <c r="AC201" s="310" t="e">
        <f t="shared" ca="1" si="112"/>
        <v>#N/A</v>
      </c>
      <c r="AD201" s="323" t="e">
        <f t="shared" ca="1" si="113"/>
        <v>#N/A</v>
      </c>
      <c r="AE201" s="324">
        <f t="shared" ca="1" si="92"/>
        <v>842.64545745770943</v>
      </c>
      <c r="AG201" s="306">
        <f t="shared" ca="1" si="114"/>
        <v>-30.159300868003815</v>
      </c>
      <c r="AH201" s="304">
        <f t="shared" ca="1" si="115"/>
        <v>-20.624253544526944</v>
      </c>
    </row>
    <row r="202" spans="1:34" x14ac:dyDescent="0.2">
      <c r="A202" s="347">
        <f t="shared" ca="1" si="93"/>
        <v>0.01</v>
      </c>
      <c r="B202" s="304">
        <f t="shared" ca="1" si="94"/>
        <v>5.179999999999958</v>
      </c>
      <c r="D202" s="306">
        <f t="shared" ca="1" si="95"/>
        <v>-4.83205381208733</v>
      </c>
      <c r="E202" s="307">
        <f t="shared" ca="1" si="96"/>
        <v>-29.774439089005973</v>
      </c>
      <c r="F202" s="304">
        <f t="shared" ca="1" si="97"/>
        <v>30.163984602632233</v>
      </c>
      <c r="G202" s="306">
        <f t="shared" ca="1" si="98"/>
        <v>36.296048249227695</v>
      </c>
      <c r="H202" s="307">
        <f t="shared" ca="1" si="99"/>
        <v>149.86509838795536</v>
      </c>
      <c r="I202" s="304">
        <f t="shared" ca="1" si="100"/>
        <v>154.19776533186791</v>
      </c>
      <c r="J202" s="306">
        <f t="shared" ca="1" si="101"/>
        <v>179.79054311732608</v>
      </c>
      <c r="K202" s="307">
        <f t="shared" ca="1" si="102"/>
        <v>844.14559716354347</v>
      </c>
      <c r="L202" s="304">
        <f t="shared" ca="1" si="87"/>
        <v>863.07961892575042</v>
      </c>
      <c r="M202" s="306">
        <f t="shared" ca="1" si="103"/>
        <v>1.3331802643470161</v>
      </c>
      <c r="N202" s="304">
        <f t="shared" ca="1" si="104"/>
        <v>76.385602477219436</v>
      </c>
      <c r="P202" s="310">
        <f t="shared" ca="1" si="105"/>
        <v>13</v>
      </c>
      <c r="Q202" s="304">
        <f t="shared" ca="1" si="106"/>
        <v>0</v>
      </c>
      <c r="R202" s="306">
        <f t="shared" ca="1" si="107"/>
        <v>0</v>
      </c>
      <c r="S202" s="307">
        <f t="shared" ca="1" si="108"/>
        <v>2.6792999999999987</v>
      </c>
      <c r="T202" s="304">
        <f t="shared" ca="1" si="88"/>
        <v>26.283932999999987</v>
      </c>
      <c r="U202" s="311">
        <f t="shared" ca="1" si="89"/>
        <v>0</v>
      </c>
      <c r="V202" s="306">
        <f t="shared" ca="1" si="90"/>
        <v>1.1257799718434074</v>
      </c>
      <c r="W202" s="304">
        <f t="shared" ca="1" si="91"/>
        <v>54.812870623350342</v>
      </c>
      <c r="Y202" s="314" t="str">
        <f t="shared" ca="1" si="109"/>
        <v/>
      </c>
      <c r="Z202" s="315" t="str">
        <f t="shared" ca="1" si="110"/>
        <v/>
      </c>
      <c r="AA202" s="316" t="str">
        <f t="shared" ca="1" si="111"/>
        <v/>
      </c>
      <c r="AC202" s="310" t="e">
        <f t="shared" ca="1" si="112"/>
        <v>#N/A</v>
      </c>
      <c r="AD202" s="323" t="e">
        <f t="shared" ca="1" si="113"/>
        <v>#N/A</v>
      </c>
      <c r="AE202" s="324">
        <f t="shared" ca="1" si="92"/>
        <v>844.14559716354347</v>
      </c>
      <c r="AG202" s="306">
        <f t="shared" ca="1" si="114"/>
        <v>-30.075578586882749</v>
      </c>
      <c r="AH202" s="304">
        <f t="shared" ca="1" si="115"/>
        <v>-20.540875643008441</v>
      </c>
    </row>
    <row r="203" spans="1:34" x14ac:dyDescent="0.2">
      <c r="A203" s="347">
        <f t="shared" ca="1" si="93"/>
        <v>0.01</v>
      </c>
      <c r="B203" s="304">
        <f t="shared" ca="1" si="94"/>
        <v>5.1899999999999578</v>
      </c>
      <c r="D203" s="306">
        <f t="shared" ca="1" si="95"/>
        <v>-4.8155119715719188</v>
      </c>
      <c r="E203" s="307">
        <f t="shared" ca="1" si="96"/>
        <v>-29.69307846773259</v>
      </c>
      <c r="F203" s="304">
        <f t="shared" ca="1" si="97"/>
        <v>30.081024989838316</v>
      </c>
      <c r="G203" s="306">
        <f t="shared" ca="1" si="98"/>
        <v>36.247893129511979</v>
      </c>
      <c r="H203" s="307">
        <f t="shared" ca="1" si="99"/>
        <v>149.56816760327803</v>
      </c>
      <c r="I203" s="304">
        <f t="shared" ca="1" si="100"/>
        <v>153.89784441807748</v>
      </c>
      <c r="J203" s="306">
        <f t="shared" ca="1" si="101"/>
        <v>180.15326282421978</v>
      </c>
      <c r="K203" s="307">
        <f t="shared" ca="1" si="102"/>
        <v>845.64276349349961</v>
      </c>
      <c r="L203" s="304">
        <f t="shared" ca="1" si="87"/>
        <v>864.61950102639685</v>
      </c>
      <c r="M203" s="306">
        <f t="shared" ca="1" si="103"/>
        <v>1.3330302206571272</v>
      </c>
      <c r="N203" s="304">
        <f t="shared" ca="1" si="104"/>
        <v>76.377005607046229</v>
      </c>
      <c r="P203" s="310">
        <f t="shared" ca="1" si="105"/>
        <v>13</v>
      </c>
      <c r="Q203" s="304">
        <f t="shared" ca="1" si="106"/>
        <v>0</v>
      </c>
      <c r="R203" s="306">
        <f t="shared" ca="1" si="107"/>
        <v>0</v>
      </c>
      <c r="S203" s="307">
        <f t="shared" ca="1" si="108"/>
        <v>2.6792999999999987</v>
      </c>
      <c r="T203" s="304">
        <f t="shared" ca="1" si="88"/>
        <v>26.283932999999987</v>
      </c>
      <c r="U203" s="311">
        <f t="shared" ca="1" si="89"/>
        <v>0</v>
      </c>
      <c r="V203" s="306">
        <f t="shared" ca="1" si="90"/>
        <v>1.1256111351870901</v>
      </c>
      <c r="W203" s="304">
        <f t="shared" ca="1" si="91"/>
        <v>54.591662966815697</v>
      </c>
      <c r="Y203" s="314" t="str">
        <f t="shared" ca="1" si="109"/>
        <v/>
      </c>
      <c r="Z203" s="315" t="str">
        <f t="shared" ca="1" si="110"/>
        <v/>
      </c>
      <c r="AA203" s="316" t="str">
        <f t="shared" ca="1" si="111"/>
        <v/>
      </c>
      <c r="AC203" s="310" t="e">
        <f t="shared" ca="1" si="112"/>
        <v>#N/A</v>
      </c>
      <c r="AD203" s="323" t="e">
        <f t="shared" ca="1" si="113"/>
        <v>#N/A</v>
      </c>
      <c r="AE203" s="324">
        <f t="shared" ca="1" si="92"/>
        <v>845.64276349349961</v>
      </c>
      <c r="AG203" s="306">
        <f t="shared" ca="1" si="114"/>
        <v>-29.992264614986219</v>
      </c>
      <c r="AH203" s="304">
        <f t="shared" ca="1" si="115"/>
        <v>-20.457907148639709</v>
      </c>
    </row>
    <row r="204" spans="1:34" x14ac:dyDescent="0.2">
      <c r="A204" s="347">
        <f t="shared" ca="1" si="93"/>
        <v>0.01</v>
      </c>
      <c r="B204" s="304">
        <f t="shared" ca="1" si="94"/>
        <v>5.1999999999999575</v>
      </c>
      <c r="D204" s="306">
        <f t="shared" ca="1" si="95"/>
        <v>-4.7990493032821018</v>
      </c>
      <c r="E204" s="307">
        <f t="shared" ca="1" si="96"/>
        <v>-29.612116717931187</v>
      </c>
      <c r="F204" s="304">
        <f t="shared" ca="1" si="97"/>
        <v>29.998472139955929</v>
      </c>
      <c r="G204" s="306">
        <f t="shared" ca="1" si="98"/>
        <v>36.199902636479159</v>
      </c>
      <c r="H204" s="307">
        <f t="shared" ca="1" si="99"/>
        <v>149.27204643609872</v>
      </c>
      <c r="I204" s="304">
        <f t="shared" ca="1" si="100"/>
        <v>153.59875259295364</v>
      </c>
      <c r="J204" s="306">
        <f t="shared" ca="1" si="101"/>
        <v>180.51550180304974</v>
      </c>
      <c r="K204" s="307">
        <f t="shared" ca="1" si="102"/>
        <v>847.13696456369655</v>
      </c>
      <c r="L204" s="304">
        <f t="shared" ca="1" si="87"/>
        <v>866.15638491060054</v>
      </c>
      <c r="M204" s="306">
        <f t="shared" ca="1" si="103"/>
        <v>1.3328797916627853</v>
      </c>
      <c r="N204" s="304">
        <f t="shared" ca="1" si="104"/>
        <v>76.368386660554052</v>
      </c>
      <c r="P204" s="310">
        <f t="shared" ca="1" si="105"/>
        <v>13</v>
      </c>
      <c r="Q204" s="304">
        <f t="shared" ca="1" si="106"/>
        <v>0</v>
      </c>
      <c r="R204" s="306">
        <f t="shared" ca="1" si="107"/>
        <v>0</v>
      </c>
      <c r="S204" s="307">
        <f t="shared" ca="1" si="108"/>
        <v>2.6792999999999987</v>
      </c>
      <c r="T204" s="304">
        <f t="shared" ca="1" si="88"/>
        <v>26.283932999999987</v>
      </c>
      <c r="U204" s="311">
        <f t="shared" ca="1" si="89"/>
        <v>0</v>
      </c>
      <c r="V204" s="306">
        <f t="shared" ca="1" si="90"/>
        <v>1.1254426571039948</v>
      </c>
      <c r="W204" s="304">
        <f t="shared" ca="1" si="91"/>
        <v>54.371538104375325</v>
      </c>
      <c r="Y204" s="314" t="str">
        <f t="shared" ca="1" si="109"/>
        <v/>
      </c>
      <c r="Z204" s="315" t="str">
        <f t="shared" ca="1" si="110"/>
        <v/>
      </c>
      <c r="AA204" s="316" t="str">
        <f t="shared" ca="1" si="111"/>
        <v/>
      </c>
      <c r="AC204" s="310" t="e">
        <f t="shared" ca="1" si="112"/>
        <v>#N/A</v>
      </c>
      <c r="AD204" s="323" t="e">
        <f t="shared" ca="1" si="113"/>
        <v>#N/A</v>
      </c>
      <c r="AE204" s="324">
        <f t="shared" ca="1" si="92"/>
        <v>847.13696456369655</v>
      </c>
      <c r="AG204" s="306">
        <f t="shared" ca="1" si="114"/>
        <v>-29.909356300791078</v>
      </c>
      <c r="AH204" s="304">
        <f t="shared" ca="1" si="115"/>
        <v>-20.375345413658689</v>
      </c>
    </row>
    <row r="205" spans="1:34" x14ac:dyDescent="0.2">
      <c r="A205" s="347">
        <f t="shared" ca="1" si="93"/>
        <v>0.1</v>
      </c>
      <c r="B205" s="304">
        <f t="shared" ca="1" si="94"/>
        <v>5.2999999999999572</v>
      </c>
      <c r="D205" s="306">
        <f t="shared" ca="1" si="95"/>
        <v>-4.7826652923456967</v>
      </c>
      <c r="E205" s="307">
        <f t="shared" ca="1" si="96"/>
        <v>-29.531551264282093</v>
      </c>
      <c r="F205" s="304">
        <f t="shared" ca="1" si="97"/>
        <v>29.916323426743624</v>
      </c>
      <c r="G205" s="306">
        <f t="shared" ca="1" si="98"/>
        <v>35.721636107244592</v>
      </c>
      <c r="H205" s="307">
        <f t="shared" ca="1" si="99"/>
        <v>146.31889130967051</v>
      </c>
      <c r="I205" s="304">
        <f t="shared" ca="1" si="100"/>
        <v>150.61624494147227</v>
      </c>
      <c r="J205" s="306">
        <f t="shared" ca="1" si="101"/>
        <v>184.11157874023593</v>
      </c>
      <c r="K205" s="307">
        <f t="shared" ca="1" si="102"/>
        <v>861.91651145098501</v>
      </c>
      <c r="L205" s="304">
        <f t="shared" ca="1" si="87"/>
        <v>881.36096245412307</v>
      </c>
      <c r="M205" s="306">
        <f t="shared" ca="1" si="103"/>
        <v>1.3313447609267925</v>
      </c>
      <c r="N205" s="304">
        <f t="shared" ca="1" si="104"/>
        <v>76.280435877958809</v>
      </c>
      <c r="P205" s="310">
        <f t="shared" ca="1" si="105"/>
        <v>23</v>
      </c>
      <c r="Q205" s="304">
        <f t="shared" ca="1" si="106"/>
        <v>0</v>
      </c>
      <c r="R205" s="306">
        <f t="shared" ca="1" si="107"/>
        <v>0</v>
      </c>
      <c r="S205" s="307">
        <f t="shared" ca="1" si="108"/>
        <v>2.6792999999999987</v>
      </c>
      <c r="T205" s="304">
        <f t="shared" ca="1" si="88"/>
        <v>26.283932999999987</v>
      </c>
      <c r="U205" s="311">
        <f t="shared" ca="1" si="89"/>
        <v>0</v>
      </c>
      <c r="V205" s="306">
        <f t="shared" ca="1" si="90"/>
        <v>1.1237774947763877</v>
      </c>
      <c r="W205" s="304">
        <f t="shared" ca="1" si="91"/>
        <v>52.203164667712059</v>
      </c>
      <c r="Y205" s="314" t="str">
        <f t="shared" ca="1" si="109"/>
        <v/>
      </c>
      <c r="Z205" s="315" t="str">
        <f t="shared" ca="1" si="110"/>
        <v/>
      </c>
      <c r="AA205" s="316" t="str">
        <f t="shared" ca="1" si="111"/>
        <v/>
      </c>
      <c r="AC205" s="310" t="e">
        <f t="shared" ca="1" si="112"/>
        <v>#N/A</v>
      </c>
      <c r="AD205" s="323" t="e">
        <f t="shared" ca="1" si="113"/>
        <v>#N/A</v>
      </c>
      <c r="AE205" s="324">
        <f t="shared" ca="1" si="92"/>
        <v>861.91651145098501</v>
      </c>
      <c r="AG205" s="306">
        <f t="shared" ca="1" si="114"/>
        <v>-29.826851014334991</v>
      </c>
      <c r="AH205" s="304">
        <f t="shared" ca="1" si="115"/>
        <v>-20.293187811881968</v>
      </c>
    </row>
    <row r="206" spans="1:34" x14ac:dyDescent="0.2">
      <c r="A206" s="347">
        <f t="shared" ca="1" si="93"/>
        <v>0.1</v>
      </c>
      <c r="B206" s="304">
        <f t="shared" ca="1" si="94"/>
        <v>5.3999999999999568</v>
      </c>
      <c r="D206" s="306">
        <f t="shared" ca="1" si="95"/>
        <v>-4.6209898409880985</v>
      </c>
      <c r="E206" s="307">
        <f t="shared" ca="1" si="96"/>
        <v>-28.737971503228643</v>
      </c>
      <c r="F206" s="304">
        <f t="shared" ca="1" si="97"/>
        <v>29.107122036211287</v>
      </c>
      <c r="G206" s="306">
        <f t="shared" ca="1" si="98"/>
        <v>35.259537123145783</v>
      </c>
      <c r="H206" s="307">
        <f t="shared" ca="1" si="99"/>
        <v>143.44509415934763</v>
      </c>
      <c r="I206" s="304">
        <f t="shared" ca="1" si="100"/>
        <v>147.715029690694</v>
      </c>
      <c r="J206" s="306">
        <f t="shared" ca="1" si="101"/>
        <v>187.66063740175545</v>
      </c>
      <c r="K206" s="307">
        <f t="shared" ca="1" si="102"/>
        <v>876.40471072443597</v>
      </c>
      <c r="L206" s="304">
        <f t="shared" ca="1" si="87"/>
        <v>896.27101471040305</v>
      </c>
      <c r="M206" s="306">
        <f t="shared" ca="1" si="103"/>
        <v>1.3297696758128683</v>
      </c>
      <c r="N206" s="304">
        <f t="shared" ca="1" si="104"/>
        <v>76.190190148557065</v>
      </c>
      <c r="P206" s="310">
        <f t="shared" ca="1" si="105"/>
        <v>23</v>
      </c>
      <c r="Q206" s="304">
        <f t="shared" ca="1" si="106"/>
        <v>0</v>
      </c>
      <c r="R206" s="306">
        <f t="shared" ca="1" si="107"/>
        <v>0</v>
      </c>
      <c r="S206" s="307">
        <f t="shared" ca="1" si="108"/>
        <v>2.6792999999999987</v>
      </c>
      <c r="T206" s="304">
        <f t="shared" ca="1" si="88"/>
        <v>26.283932999999987</v>
      </c>
      <c r="U206" s="311">
        <f t="shared" ca="1" si="89"/>
        <v>0</v>
      </c>
      <c r="V206" s="306">
        <f t="shared" ca="1" si="90"/>
        <v>1.1221474460747625</v>
      </c>
      <c r="W206" s="304">
        <f t="shared" ca="1" si="91"/>
        <v>50.138595825852782</v>
      </c>
      <c r="Y206" s="314" t="str">
        <f t="shared" ca="1" si="109"/>
        <v/>
      </c>
      <c r="Z206" s="315" t="str">
        <f t="shared" ca="1" si="110"/>
        <v/>
      </c>
      <c r="AA206" s="316" t="str">
        <f t="shared" ca="1" si="111"/>
        <v/>
      </c>
      <c r="AC206" s="310" t="e">
        <f t="shared" ca="1" si="112"/>
        <v>#N/A</v>
      </c>
      <c r="AD206" s="323" t="e">
        <f t="shared" ca="1" si="113"/>
        <v>#N/A</v>
      </c>
      <c r="AE206" s="324">
        <f t="shared" ca="1" si="92"/>
        <v>876.40471072443597</v>
      </c>
      <c r="AG206" s="306">
        <f t="shared" ca="1" si="114"/>
        <v>-29.013984833405544</v>
      </c>
      <c r="AH206" s="304">
        <f t="shared" ca="1" si="115"/>
        <v>-19.483881860079904</v>
      </c>
    </row>
    <row r="207" spans="1:34" x14ac:dyDescent="0.2">
      <c r="A207" s="347">
        <f t="shared" ca="1" si="93"/>
        <v>0.1</v>
      </c>
      <c r="B207" s="304">
        <f t="shared" ca="1" si="94"/>
        <v>5.4999999999999565</v>
      </c>
      <c r="D207" s="306">
        <f t="shared" ca="1" si="95"/>
        <v>-4.4668641395194779</v>
      </c>
      <c r="E207" s="307">
        <f t="shared" ca="1" si="96"/>
        <v>-27.982381130601141</v>
      </c>
      <c r="F207" s="304">
        <f t="shared" ca="1" si="97"/>
        <v>28.336664041117256</v>
      </c>
      <c r="G207" s="306">
        <f t="shared" ca="1" si="98"/>
        <v>34.812850709193839</v>
      </c>
      <c r="H207" s="307">
        <f t="shared" ca="1" si="99"/>
        <v>140.64685604628752</v>
      </c>
      <c r="I207" s="304">
        <f t="shared" ca="1" si="100"/>
        <v>144.89124435315526</v>
      </c>
      <c r="J207" s="306">
        <f t="shared" ca="1" si="101"/>
        <v>191.16425679337243</v>
      </c>
      <c r="K207" s="307">
        <f t="shared" ca="1" si="102"/>
        <v>890.60930823471767</v>
      </c>
      <c r="L207" s="304">
        <f t="shared" ca="1" si="87"/>
        <v>910.89445765669518</v>
      </c>
      <c r="M207" s="306">
        <f t="shared" ca="1" si="103"/>
        <v>1.3281535358297165</v>
      </c>
      <c r="N207" s="304">
        <f t="shared" ca="1" si="104"/>
        <v>76.097592148420119</v>
      </c>
      <c r="P207" s="310">
        <f t="shared" ca="1" si="105"/>
        <v>23</v>
      </c>
      <c r="Q207" s="304">
        <f t="shared" ca="1" si="106"/>
        <v>0</v>
      </c>
      <c r="R207" s="306">
        <f t="shared" ca="1" si="107"/>
        <v>0</v>
      </c>
      <c r="S207" s="307">
        <f t="shared" ca="1" si="108"/>
        <v>2.6792999999999987</v>
      </c>
      <c r="T207" s="304">
        <f t="shared" ca="1" si="88"/>
        <v>26.283932999999987</v>
      </c>
      <c r="U207" s="311">
        <f t="shared" ca="1" si="89"/>
        <v>0</v>
      </c>
      <c r="V207" s="306">
        <f t="shared" ca="1" si="90"/>
        <v>1.1205515000553405</v>
      </c>
      <c r="W207" s="304">
        <f t="shared" ca="1" si="91"/>
        <v>48.171367486447721</v>
      </c>
      <c r="Y207" s="314" t="str">
        <f t="shared" ca="1" si="109"/>
        <v/>
      </c>
      <c r="Z207" s="315" t="str">
        <f t="shared" ca="1" si="110"/>
        <v/>
      </c>
      <c r="AA207" s="316" t="str">
        <f t="shared" ca="1" si="111"/>
        <v/>
      </c>
      <c r="AC207" s="310" t="e">
        <f t="shared" ca="1" si="112"/>
        <v>#N/A</v>
      </c>
      <c r="AD207" s="323" t="e">
        <f t="shared" ca="1" si="113"/>
        <v>#N/A</v>
      </c>
      <c r="AE207" s="324">
        <f t="shared" ca="1" si="92"/>
        <v>890.60930823471767</v>
      </c>
      <c r="AG207" s="306">
        <f t="shared" ca="1" si="114"/>
        <v>-28.239745588299257</v>
      </c>
      <c r="AH207" s="304">
        <f t="shared" ca="1" si="115"/>
        <v>-18.713319085527118</v>
      </c>
    </row>
    <row r="208" spans="1:34" x14ac:dyDescent="0.2">
      <c r="A208" s="347">
        <f t="shared" ca="1" si="93"/>
        <v>0.1</v>
      </c>
      <c r="B208" s="304">
        <f t="shared" ca="1" si="94"/>
        <v>5.5999999999999561</v>
      </c>
      <c r="D208" s="306">
        <f t="shared" ca="1" si="95"/>
        <v>-4.3198142879542765</v>
      </c>
      <c r="E208" s="307">
        <f t="shared" ca="1" si="96"/>
        <v>-27.262414436837446</v>
      </c>
      <c r="F208" s="304">
        <f t="shared" ca="1" si="97"/>
        <v>27.602536774874455</v>
      </c>
      <c r="G208" s="306">
        <f t="shared" ca="1" si="98"/>
        <v>34.380869280398414</v>
      </c>
      <c r="H208" s="307">
        <f t="shared" ca="1" si="99"/>
        <v>137.92061460260379</v>
      </c>
      <c r="I208" s="304">
        <f t="shared" ca="1" si="100"/>
        <v>142.14126812729583</v>
      </c>
      <c r="J208" s="306">
        <f t="shared" ca="1" si="101"/>
        <v>194.62394279285203</v>
      </c>
      <c r="K208" s="307">
        <f t="shared" ca="1" si="102"/>
        <v>904.53768176716221</v>
      </c>
      <c r="L208" s="304">
        <f t="shared" ca="1" si="87"/>
        <v>925.23883232652281</v>
      </c>
      <c r="M208" s="306">
        <f t="shared" ca="1" si="103"/>
        <v>1.3264952993457122</v>
      </c>
      <c r="N208" s="304">
        <f t="shared" ca="1" si="104"/>
        <v>76.002582196452053</v>
      </c>
      <c r="P208" s="310">
        <f t="shared" ca="1" si="105"/>
        <v>23</v>
      </c>
      <c r="Q208" s="304">
        <f t="shared" ca="1" si="106"/>
        <v>0</v>
      </c>
      <c r="R208" s="306">
        <f t="shared" ca="1" si="107"/>
        <v>0</v>
      </c>
      <c r="S208" s="307">
        <f t="shared" ca="1" si="108"/>
        <v>2.6792999999999987</v>
      </c>
      <c r="T208" s="304">
        <f t="shared" ca="1" si="88"/>
        <v>26.283932999999987</v>
      </c>
      <c r="U208" s="311">
        <f t="shared" ca="1" si="89"/>
        <v>0</v>
      </c>
      <c r="V208" s="306">
        <f t="shared" ca="1" si="90"/>
        <v>1.1189886949873837</v>
      </c>
      <c r="W208" s="304">
        <f t="shared" ca="1" si="91"/>
        <v>46.295517149399345</v>
      </c>
      <c r="Y208" s="314" t="str">
        <f t="shared" ca="1" si="109"/>
        <v/>
      </c>
      <c r="Z208" s="315" t="str">
        <f t="shared" ca="1" si="110"/>
        <v/>
      </c>
      <c r="AA208" s="316" t="str">
        <f t="shared" ca="1" si="111"/>
        <v/>
      </c>
      <c r="AC208" s="310" t="e">
        <f t="shared" ca="1" si="112"/>
        <v>#N/A</v>
      </c>
      <c r="AD208" s="323" t="e">
        <f t="shared" ca="1" si="113"/>
        <v>#N/A</v>
      </c>
      <c r="AE208" s="324">
        <f t="shared" ca="1" si="92"/>
        <v>904.53768176716221</v>
      </c>
      <c r="AG208" s="306">
        <f t="shared" ca="1" si="114"/>
        <v>-27.501716521653485</v>
      </c>
      <c r="AH208" s="304">
        <f t="shared" ca="1" si="115"/>
        <v>-17.979086883308231</v>
      </c>
    </row>
    <row r="209" spans="1:34" x14ac:dyDescent="0.2">
      <c r="A209" s="347">
        <f t="shared" ca="1" si="93"/>
        <v>0.1</v>
      </c>
      <c r="B209" s="304">
        <f t="shared" ca="1" si="94"/>
        <v>5.6999999999999558</v>
      </c>
      <c r="D209" s="306">
        <f t="shared" ca="1" si="95"/>
        <v>-4.1794031250023451</v>
      </c>
      <c r="E209" s="307">
        <f t="shared" ca="1" si="96"/>
        <v>-26.575889279041725</v>
      </c>
      <c r="F209" s="304">
        <f t="shared" ca="1" si="97"/>
        <v>26.902514779350355</v>
      </c>
      <c r="G209" s="306">
        <f t="shared" ca="1" si="98"/>
        <v>33.962928967898179</v>
      </c>
      <c r="H209" s="307">
        <f t="shared" ca="1" si="99"/>
        <v>135.26302567469961</v>
      </c>
      <c r="I209" s="304">
        <f t="shared" ca="1" si="100"/>
        <v>139.46170319751923</v>
      </c>
      <c r="J209" s="306">
        <f t="shared" ca="1" si="101"/>
        <v>198.04113270526688</v>
      </c>
      <c r="K209" s="307">
        <f t="shared" ca="1" si="102"/>
        <v>918.19686378102733</v>
      </c>
      <c r="L209" s="304">
        <f t="shared" ca="1" si="87"/>
        <v>939.31132799540933</v>
      </c>
      <c r="M209" s="306">
        <f t="shared" ca="1" si="103"/>
        <v>1.3247938817513889</v>
      </c>
      <c r="N209" s="304">
        <f t="shared" ca="1" si="104"/>
        <v>75.905098149108028</v>
      </c>
      <c r="P209" s="310">
        <f t="shared" ca="1" si="105"/>
        <v>23</v>
      </c>
      <c r="Q209" s="304">
        <f t="shared" ca="1" si="106"/>
        <v>0</v>
      </c>
      <c r="R209" s="306">
        <f t="shared" ca="1" si="107"/>
        <v>0</v>
      </c>
      <c r="S209" s="307">
        <f t="shared" ca="1" si="108"/>
        <v>2.6792999999999987</v>
      </c>
      <c r="T209" s="304">
        <f t="shared" ca="1" si="88"/>
        <v>26.283932999999987</v>
      </c>
      <c r="U209" s="311">
        <f t="shared" ca="1" si="89"/>
        <v>0</v>
      </c>
      <c r="V209" s="306">
        <f t="shared" ca="1" si="90"/>
        <v>1.1174581152518661</v>
      </c>
      <c r="W209" s="304">
        <f t="shared" ca="1" si="91"/>
        <v>44.505537743040549</v>
      </c>
      <c r="Y209" s="314" t="str">
        <f t="shared" ca="1" si="109"/>
        <v/>
      </c>
      <c r="Z209" s="315" t="str">
        <f t="shared" ca="1" si="110"/>
        <v/>
      </c>
      <c r="AA209" s="316" t="str">
        <f t="shared" ca="1" si="111"/>
        <v/>
      </c>
      <c r="AC209" s="310" t="e">
        <f t="shared" ca="1" si="112"/>
        <v>#N/A</v>
      </c>
      <c r="AD209" s="323" t="e">
        <f t="shared" ca="1" si="113"/>
        <v>#N/A</v>
      </c>
      <c r="AE209" s="324">
        <f t="shared" ca="1" si="92"/>
        <v>918.19686378102733</v>
      </c>
      <c r="AG209" s="306">
        <f t="shared" ca="1" si="114"/>
        <v>-26.7976678811937</v>
      </c>
      <c r="AH209" s="304">
        <f t="shared" ca="1" si="115"/>
        <v>-17.278959858694201</v>
      </c>
    </row>
    <row r="210" spans="1:34" x14ac:dyDescent="0.2">
      <c r="A210" s="347">
        <f t="shared" ca="1" si="93"/>
        <v>0.1</v>
      </c>
      <c r="B210" s="304">
        <f t="shared" ca="1" si="94"/>
        <v>5.7999999999999554</v>
      </c>
      <c r="D210" s="306">
        <f t="shared" ca="1" si="95"/>
        <v>-4.0452268458846081</v>
      </c>
      <c r="E210" s="307">
        <f t="shared" ca="1" si="96"/>
        <v>-25.920790186325199</v>
      </c>
      <c r="F210" s="304">
        <f t="shared" ca="1" si="97"/>
        <v>26.234542574974665</v>
      </c>
      <c r="G210" s="306">
        <f t="shared" ca="1" si="98"/>
        <v>33.558406283309715</v>
      </c>
      <c r="H210" s="307">
        <f t="shared" ca="1" si="99"/>
        <v>132.67094665606709</v>
      </c>
      <c r="I210" s="304">
        <f t="shared" ca="1" si="100"/>
        <v>136.8493577584224</v>
      </c>
      <c r="J210" s="306">
        <f t="shared" ca="1" si="101"/>
        <v>201.41719946782726</v>
      </c>
      <c r="K210" s="307">
        <f t="shared" ca="1" si="102"/>
        <v>931.59356239756562</v>
      </c>
      <c r="L210" s="304">
        <f t="shared" ca="1" si="87"/>
        <v>953.11880358224471</v>
      </c>
      <c r="M210" s="306">
        <f t="shared" ca="1" si="103"/>
        <v>1.3230481535153584</v>
      </c>
      <c r="N210" s="304">
        <f t="shared" ca="1" si="104"/>
        <v>75.805075289006666</v>
      </c>
      <c r="P210" s="310">
        <f t="shared" ca="1" si="105"/>
        <v>23</v>
      </c>
      <c r="Q210" s="304">
        <f t="shared" ca="1" si="106"/>
        <v>0</v>
      </c>
      <c r="R210" s="306">
        <f t="shared" ca="1" si="107"/>
        <v>0</v>
      </c>
      <c r="S210" s="307">
        <f t="shared" ca="1" si="108"/>
        <v>2.6792999999999987</v>
      </c>
      <c r="T210" s="304">
        <f t="shared" ca="1" si="88"/>
        <v>26.283932999999987</v>
      </c>
      <c r="U210" s="311">
        <f t="shared" ca="1" si="89"/>
        <v>0</v>
      </c>
      <c r="V210" s="306">
        <f t="shared" ca="1" si="90"/>
        <v>1.1159588884826117</v>
      </c>
      <c r="W210" s="304">
        <f t="shared" ca="1" si="91"/>
        <v>42.79633636156592</v>
      </c>
      <c r="Y210" s="314" t="str">
        <f t="shared" ca="1" si="109"/>
        <v/>
      </c>
      <c r="Z210" s="315" t="str">
        <f t="shared" ca="1" si="110"/>
        <v/>
      </c>
      <c r="AA210" s="316" t="str">
        <f t="shared" ca="1" si="111"/>
        <v/>
      </c>
      <c r="AC210" s="310" t="e">
        <f t="shared" ca="1" si="112"/>
        <v>#N/A</v>
      </c>
      <c r="AD210" s="323" t="e">
        <f t="shared" ca="1" si="113"/>
        <v>#N/A</v>
      </c>
      <c r="AE210" s="324">
        <f t="shared" ca="1" si="92"/>
        <v>931.59356239756562</v>
      </c>
      <c r="AG210" s="306">
        <f t="shared" ca="1" si="114"/>
        <v>-26.125539678422864</v>
      </c>
      <c r="AH210" s="304">
        <f t="shared" ca="1" si="115"/>
        <v>-16.610882597335337</v>
      </c>
    </row>
    <row r="211" spans="1:34" x14ac:dyDescent="0.2">
      <c r="A211" s="347">
        <f t="shared" ca="1" si="93"/>
        <v>0.1</v>
      </c>
      <c r="B211" s="304">
        <f t="shared" ca="1" si="94"/>
        <v>5.8999999999999551</v>
      </c>
      <c r="D211" s="306">
        <f t="shared" ca="1" si="95"/>
        <v>-3.9169119792853517</v>
      </c>
      <c r="E211" s="307">
        <f t="shared" ca="1" si="96"/>
        <v>-25.295253258845321</v>
      </c>
      <c r="F211" s="304">
        <f t="shared" ca="1" si="97"/>
        <v>25.59671926014336</v>
      </c>
      <c r="G211" s="306">
        <f t="shared" ca="1" si="98"/>
        <v>33.166715085381178</v>
      </c>
      <c r="H211" s="307">
        <f t="shared" ca="1" si="99"/>
        <v>130.14142133018257</v>
      </c>
      <c r="I211" s="304">
        <f t="shared" ca="1" si="100"/>
        <v>134.30123058034482</v>
      </c>
      <c r="J211" s="306">
        <f t="shared" ca="1" si="101"/>
        <v>204.75345553626181</v>
      </c>
      <c r="K211" s="307">
        <f t="shared" ca="1" si="102"/>
        <v>944.73418079687815</v>
      </c>
      <c r="L211" s="304">
        <f t="shared" ca="1" si="87"/>
        <v>966.66780742920594</v>
      </c>
      <c r="M211" s="306">
        <f t="shared" ca="1" si="103"/>
        <v>1.3212569381270092</v>
      </c>
      <c r="N211" s="304">
        <f t="shared" ca="1" si="104"/>
        <v>75.702446207055374</v>
      </c>
      <c r="P211" s="310">
        <f t="shared" ca="1" si="105"/>
        <v>23</v>
      </c>
      <c r="Q211" s="304">
        <f t="shared" ca="1" si="106"/>
        <v>0</v>
      </c>
      <c r="R211" s="306">
        <f t="shared" ca="1" si="107"/>
        <v>0</v>
      </c>
      <c r="S211" s="307">
        <f t="shared" ca="1" si="108"/>
        <v>2.6792999999999987</v>
      </c>
      <c r="T211" s="304">
        <f t="shared" ca="1" si="88"/>
        <v>26.283932999999987</v>
      </c>
      <c r="U211" s="311">
        <f t="shared" ca="1" si="89"/>
        <v>0</v>
      </c>
      <c r="V211" s="306">
        <f t="shared" ca="1" si="90"/>
        <v>1.1144901829274836</v>
      </c>
      <c r="W211" s="304">
        <f t="shared" ca="1" si="91"/>
        <v>41.163197316232349</v>
      </c>
      <c r="Y211" s="314" t="str">
        <f t="shared" ca="1" si="109"/>
        <v/>
      </c>
      <c r="Z211" s="315" t="str">
        <f t="shared" ca="1" si="110"/>
        <v/>
      </c>
      <c r="AA211" s="316" t="str">
        <f t="shared" ca="1" si="111"/>
        <v/>
      </c>
      <c r="AC211" s="310" t="e">
        <f t="shared" ca="1" si="112"/>
        <v>#N/A</v>
      </c>
      <c r="AD211" s="323" t="e">
        <f t="shared" ca="1" si="113"/>
        <v>#N/A</v>
      </c>
      <c r="AE211" s="324">
        <f t="shared" ca="1" si="92"/>
        <v>944.73418079687815</v>
      </c>
      <c r="AG211" s="306">
        <f t="shared" ca="1" si="114"/>
        <v>-25.483426275839896</v>
      </c>
      <c r="AH211" s="304">
        <f t="shared" ca="1" si="115"/>
        <v>-15.972954264757938</v>
      </c>
    </row>
    <row r="212" spans="1:34" x14ac:dyDescent="0.2">
      <c r="A212" s="347">
        <f t="shared" ca="1" si="93"/>
        <v>0.1</v>
      </c>
      <c r="B212" s="304">
        <f t="shared" ca="1" si="94"/>
        <v>5.9999999999999547</v>
      </c>
      <c r="D212" s="306">
        <f t="shared" ca="1" si="95"/>
        <v>-3.7941126803937704</v>
      </c>
      <c r="E212" s="307">
        <f t="shared" ca="1" si="96"/>
        <v>-24.697552645542295</v>
      </c>
      <c r="F212" s="304">
        <f t="shared" ca="1" si="97"/>
        <v>24.987284720650582</v>
      </c>
      <c r="G212" s="306">
        <f t="shared" ca="1" si="98"/>
        <v>32.787303817341801</v>
      </c>
      <c r="H212" s="307">
        <f t="shared" ca="1" si="99"/>
        <v>127.67166606562834</v>
      </c>
      <c r="I212" s="304">
        <f t="shared" ca="1" si="100"/>
        <v>131.81449695531973</v>
      </c>
      <c r="J212" s="306">
        <f t="shared" ca="1" si="101"/>
        <v>208.05115648139795</v>
      </c>
      <c r="K212" s="307">
        <f t="shared" ca="1" si="102"/>
        <v>957.62483516666873</v>
      </c>
      <c r="L212" s="304">
        <f t="shared" ca="1" si="87"/>
        <v>979.96459560600283</v>
      </c>
      <c r="M212" s="306">
        <f t="shared" ca="1" si="103"/>
        <v>1.3194190099188379</v>
      </c>
      <c r="N212" s="304">
        <f t="shared" ca="1" si="104"/>
        <v>75.597140677679107</v>
      </c>
      <c r="P212" s="310">
        <f t="shared" ca="1" si="105"/>
        <v>23</v>
      </c>
      <c r="Q212" s="304">
        <f t="shared" ca="1" si="106"/>
        <v>0</v>
      </c>
      <c r="R212" s="306">
        <f t="shared" ca="1" si="107"/>
        <v>0</v>
      </c>
      <c r="S212" s="307">
        <f t="shared" ca="1" si="108"/>
        <v>2.6792999999999987</v>
      </c>
      <c r="T212" s="304">
        <f t="shared" ca="1" si="88"/>
        <v>26.283932999999987</v>
      </c>
      <c r="U212" s="311">
        <f t="shared" ca="1" si="89"/>
        <v>0</v>
      </c>
      <c r="V212" s="306">
        <f t="shared" ca="1" si="90"/>
        <v>1.1130512050095738</v>
      </c>
      <c r="W212" s="304">
        <f t="shared" ca="1" si="91"/>
        <v>39.601748991081656</v>
      </c>
      <c r="Y212" s="314" t="str">
        <f t="shared" ca="1" si="109"/>
        <v/>
      </c>
      <c r="Z212" s="315" t="str">
        <f t="shared" ca="1" si="110"/>
        <v/>
      </c>
      <c r="AA212" s="316" t="str">
        <f t="shared" ca="1" si="111"/>
        <v/>
      </c>
      <c r="AC212" s="310">
        <f t="shared" ca="1" si="112"/>
        <v>5.9999999999999547</v>
      </c>
      <c r="AD212" s="323">
        <f t="shared" ca="1" si="113"/>
        <v>208.05115648139795</v>
      </c>
      <c r="AE212" s="324">
        <f t="shared" ca="1" si="92"/>
        <v>957.62483516666873</v>
      </c>
      <c r="AG212" s="306">
        <f t="shared" ca="1" si="114"/>
        <v>-24.869562583361407</v>
      </c>
      <c r="AH212" s="304">
        <f t="shared" ca="1" si="115"/>
        <v>-15.363414815896828</v>
      </c>
    </row>
    <row r="213" spans="1:34" x14ac:dyDescent="0.2">
      <c r="A213" s="347">
        <f t="shared" ca="1" si="93"/>
        <v>0.1</v>
      </c>
      <c r="B213" s="304">
        <f t="shared" ca="1" si="94"/>
        <v>6.0999999999999543</v>
      </c>
      <c r="D213" s="306">
        <f t="shared" ca="1" si="95"/>
        <v>-3.6765083027205301</v>
      </c>
      <c r="E213" s="307">
        <f t="shared" ca="1" si="96"/>
        <v>-24.126088414204368</v>
      </c>
      <c r="F213" s="304">
        <f t="shared" ca="1" si="97"/>
        <v>24.404607259080802</v>
      </c>
      <c r="G213" s="306">
        <f t="shared" ca="1" si="98"/>
        <v>32.419652987069746</v>
      </c>
      <c r="H213" s="307">
        <f t="shared" ca="1" si="99"/>
        <v>125.25905722420791</v>
      </c>
      <c r="I213" s="304">
        <f t="shared" ca="1" si="100"/>
        <v>129.38649588152316</v>
      </c>
      <c r="J213" s="306">
        <f t="shared" ca="1" si="101"/>
        <v>211.31150432161854</v>
      </c>
      <c r="K213" s="307">
        <f t="shared" ca="1" si="102"/>
        <v>970.27137133116059</v>
      </c>
      <c r="L213" s="304">
        <f t="shared" ca="1" si="87"/>
        <v>993.01514886909774</v>
      </c>
      <c r="M213" s="306">
        <f t="shared" ca="1" si="103"/>
        <v>1.3175330917607284</v>
      </c>
      <c r="N213" s="304">
        <f t="shared" ca="1" si="104"/>
        <v>75.489085526712358</v>
      </c>
      <c r="P213" s="310">
        <f t="shared" ca="1" si="105"/>
        <v>23</v>
      </c>
      <c r="Q213" s="304">
        <f t="shared" ca="1" si="106"/>
        <v>0</v>
      </c>
      <c r="R213" s="306">
        <f t="shared" ca="1" si="107"/>
        <v>0</v>
      </c>
      <c r="S213" s="307">
        <f t="shared" ca="1" si="108"/>
        <v>2.6792999999999987</v>
      </c>
      <c r="T213" s="304">
        <f t="shared" ca="1" si="88"/>
        <v>26.283932999999987</v>
      </c>
      <c r="U213" s="311">
        <f t="shared" ca="1" si="89"/>
        <v>0</v>
      </c>
      <c r="V213" s="306">
        <f t="shared" ca="1" si="90"/>
        <v>1.1116411970704774</v>
      </c>
      <c r="W213" s="304">
        <f t="shared" ca="1" si="91"/>
        <v>38.107934060746061</v>
      </c>
      <c r="Y213" s="314" t="str">
        <f t="shared" ca="1" si="109"/>
        <v/>
      </c>
      <c r="Z213" s="315" t="str">
        <f t="shared" ca="1" si="110"/>
        <v/>
      </c>
      <c r="AA213" s="316" t="str">
        <f t="shared" ca="1" si="111"/>
        <v/>
      </c>
      <c r="AC213" s="310" t="e">
        <f t="shared" ca="1" si="112"/>
        <v>#N/A</v>
      </c>
      <c r="AD213" s="323" t="e">
        <f t="shared" ca="1" si="113"/>
        <v>#N/A</v>
      </c>
      <c r="AE213" s="324">
        <f t="shared" ca="1" si="92"/>
        <v>970.27137133116059</v>
      </c>
      <c r="AG213" s="306">
        <f t="shared" ca="1" si="114"/>
        <v>-24.282311673816444</v>
      </c>
      <c r="AH213" s="304">
        <f t="shared" ca="1" si="115"/>
        <v>-14.780632624596603</v>
      </c>
    </row>
    <row r="214" spans="1:34" x14ac:dyDescent="0.2">
      <c r="A214" s="347">
        <f t="shared" ca="1" si="93"/>
        <v>0.1</v>
      </c>
      <c r="B214" s="304">
        <f t="shared" ca="1" si="94"/>
        <v>6.199999999999954</v>
      </c>
      <c r="D214" s="306">
        <f t="shared" ca="1" si="95"/>
        <v>-3.5638012162709125</v>
      </c>
      <c r="E214" s="307">
        <f t="shared" ca="1" si="96"/>
        <v>-23.579375651942403</v>
      </c>
      <c r="F214" s="304">
        <f t="shared" ca="1" si="97"/>
        <v>23.847172479027954</v>
      </c>
      <c r="G214" s="306">
        <f t="shared" ca="1" si="98"/>
        <v>32.063272865442656</v>
      </c>
      <c r="H214" s="307">
        <f t="shared" ca="1" si="99"/>
        <v>122.90111965901367</v>
      </c>
      <c r="I214" s="304">
        <f t="shared" ca="1" si="100"/>
        <v>127.01471836083813</v>
      </c>
      <c r="J214" s="306">
        <f t="shared" ca="1" si="101"/>
        <v>214.53565061424416</v>
      </c>
      <c r="K214" s="307">
        <f t="shared" ca="1" si="102"/>
        <v>982.67938017532163</v>
      </c>
      <c r="L214" s="304">
        <f t="shared" ca="1" si="87"/>
        <v>1005.8251883932074</v>
      </c>
      <c r="M214" s="306">
        <f t="shared" ca="1" si="103"/>
        <v>1.3155978526179142</v>
      </c>
      <c r="N214" s="304">
        <f t="shared" ca="1" si="104"/>
        <v>75.378204491480588</v>
      </c>
      <c r="P214" s="310">
        <f t="shared" ca="1" si="105"/>
        <v>23</v>
      </c>
      <c r="Q214" s="304">
        <f t="shared" ca="1" si="106"/>
        <v>0</v>
      </c>
      <c r="R214" s="306">
        <f t="shared" ca="1" si="107"/>
        <v>0</v>
      </c>
      <c r="S214" s="307">
        <f t="shared" ca="1" si="108"/>
        <v>2.6792999999999987</v>
      </c>
      <c r="T214" s="304">
        <f t="shared" ca="1" si="88"/>
        <v>26.283932999999987</v>
      </c>
      <c r="U214" s="311">
        <f t="shared" ca="1" si="89"/>
        <v>0</v>
      </c>
      <c r="V214" s="306">
        <f t="shared" ca="1" si="90"/>
        <v>1.1102594352795461</v>
      </c>
      <c r="W214" s="304">
        <f t="shared" ca="1" si="91"/>
        <v>36.677982685086221</v>
      </c>
      <c r="Y214" s="314" t="str">
        <f t="shared" ca="1" si="109"/>
        <v/>
      </c>
      <c r="Z214" s="315" t="str">
        <f t="shared" ca="1" si="110"/>
        <v/>
      </c>
      <c r="AA214" s="316" t="str">
        <f t="shared" ca="1" si="111"/>
        <v/>
      </c>
      <c r="AC214" s="310" t="e">
        <f t="shared" ca="1" si="112"/>
        <v>#N/A</v>
      </c>
      <c r="AD214" s="323" t="e">
        <f t="shared" ca="1" si="113"/>
        <v>#N/A</v>
      </c>
      <c r="AE214" s="324">
        <f t="shared" ca="1" si="92"/>
        <v>982.67938017532163</v>
      </c>
      <c r="AG214" s="306">
        <f t="shared" ca="1" si="114"/>
        <v>-23.720153652313428</v>
      </c>
      <c r="AH214" s="304">
        <f t="shared" ca="1" si="115"/>
        <v>-14.22309336794912</v>
      </c>
    </row>
    <row r="215" spans="1:34" x14ac:dyDescent="0.2">
      <c r="A215" s="347">
        <f t="shared" ca="1" si="93"/>
        <v>0.1</v>
      </c>
      <c r="B215" s="304">
        <f t="shared" ca="1" si="94"/>
        <v>6.2999999999999536</v>
      </c>
      <c r="D215" s="306">
        <f t="shared" ca="1" si="95"/>
        <v>-3.4557148438469016</v>
      </c>
      <c r="E215" s="307">
        <f t="shared" ca="1" si="96"/>
        <v>-23.056034655083689</v>
      </c>
      <c r="F215" s="304">
        <f t="shared" ca="1" si="97"/>
        <v>23.31357328035331</v>
      </c>
      <c r="G215" s="306">
        <f t="shared" ca="1" si="98"/>
        <v>31.717701381057964</v>
      </c>
      <c r="H215" s="307">
        <f t="shared" ca="1" si="99"/>
        <v>120.5955161935053</v>
      </c>
      <c r="I215" s="304">
        <f t="shared" ca="1" si="100"/>
        <v>124.69679669853579</v>
      </c>
      <c r="J215" s="306">
        <f t="shared" ca="1" si="101"/>
        <v>217.72469932656918</v>
      </c>
      <c r="K215" s="307">
        <f t="shared" ca="1" si="102"/>
        <v>994.85421196794755</v>
      </c>
      <c r="L215" s="304">
        <f t="shared" ca="1" si="87"/>
        <v>1018.4001903805846</v>
      </c>
      <c r="M215" s="306">
        <f t="shared" ca="1" si="103"/>
        <v>1.31361190496374</v>
      </c>
      <c r="N215" s="304">
        <f t="shared" ca="1" si="104"/>
        <v>75.264418072562506</v>
      </c>
      <c r="P215" s="310">
        <f t="shared" ca="1" si="105"/>
        <v>23</v>
      </c>
      <c r="Q215" s="304">
        <f t="shared" ca="1" si="106"/>
        <v>0</v>
      </c>
      <c r="R215" s="306">
        <f t="shared" ca="1" si="107"/>
        <v>0</v>
      </c>
      <c r="S215" s="307">
        <f t="shared" ca="1" si="108"/>
        <v>2.6792999999999987</v>
      </c>
      <c r="T215" s="304">
        <f t="shared" ca="1" si="88"/>
        <v>26.283932999999987</v>
      </c>
      <c r="U215" s="311">
        <f t="shared" ca="1" si="89"/>
        <v>0</v>
      </c>
      <c r="V215" s="306">
        <f t="shared" ca="1" si="90"/>
        <v>1.108905227694696</v>
      </c>
      <c r="W215" s="304">
        <f t="shared" ca="1" si="91"/>
        <v>35.308388344488748</v>
      </c>
      <c r="Y215" s="314" t="str">
        <f t="shared" ca="1" si="109"/>
        <v/>
      </c>
      <c r="Z215" s="315" t="str">
        <f t="shared" ca="1" si="110"/>
        <v/>
      </c>
      <c r="AA215" s="316" t="str">
        <f t="shared" ca="1" si="111"/>
        <v/>
      </c>
      <c r="AC215" s="310" t="e">
        <f t="shared" ca="1" si="112"/>
        <v>#N/A</v>
      </c>
      <c r="AD215" s="323" t="e">
        <f t="shared" ca="1" si="113"/>
        <v>#N/A</v>
      </c>
      <c r="AE215" s="324">
        <f t="shared" ca="1" si="92"/>
        <v>994.85421196794755</v>
      </c>
      <c r="AG215" s="306">
        <f t="shared" ca="1" si="114"/>
        <v>-23.181675635617268</v>
      </c>
      <c r="AH215" s="304">
        <f t="shared" ca="1" si="115"/>
        <v>-13.689390021679632</v>
      </c>
    </row>
    <row r="216" spans="1:34" x14ac:dyDescent="0.2">
      <c r="A216" s="347">
        <f t="shared" ca="1" si="93"/>
        <v>0.1</v>
      </c>
      <c r="B216" s="304">
        <f t="shared" ca="1" si="94"/>
        <v>6.3999999999999533</v>
      </c>
      <c r="D216" s="306">
        <f t="shared" ca="1" si="95"/>
        <v>-3.3519918908469628</v>
      </c>
      <c r="E216" s="307">
        <f t="shared" ca="1" si="96"/>
        <v>-22.554782085455457</v>
      </c>
      <c r="F216" s="304">
        <f t="shared" ca="1" si="97"/>
        <v>22.802500840010648</v>
      </c>
      <c r="G216" s="306">
        <f t="shared" ca="1" si="98"/>
        <v>31.382502191973266</v>
      </c>
      <c r="H216" s="307">
        <f t="shared" ca="1" si="99"/>
        <v>118.34003798495976</v>
      </c>
      <c r="I216" s="304">
        <f t="shared" ca="1" si="100"/>
        <v>122.43049470663314</v>
      </c>
      <c r="J216" s="306">
        <f t="shared" ca="1" si="101"/>
        <v>220.87970950522075</v>
      </c>
      <c r="K216" s="307">
        <f t="shared" ca="1" si="102"/>
        <v>1006.8009896768708</v>
      </c>
      <c r="L216" s="304">
        <f t="shared" ca="1" si="87"/>
        <v>1030.7453996431113</v>
      </c>
      <c r="M216" s="306">
        <f t="shared" ca="1" si="103"/>
        <v>1.3115738020376646</v>
      </c>
      <c r="N216" s="304">
        <f t="shared" ca="1" si="104"/>
        <v>75.14764337668511</v>
      </c>
      <c r="P216" s="310">
        <f t="shared" ca="1" si="105"/>
        <v>23</v>
      </c>
      <c r="Q216" s="304">
        <f t="shared" ca="1" si="106"/>
        <v>0</v>
      </c>
      <c r="R216" s="306">
        <f t="shared" ca="1" si="107"/>
        <v>0</v>
      </c>
      <c r="S216" s="307">
        <f t="shared" ca="1" si="108"/>
        <v>2.6792999999999987</v>
      </c>
      <c r="T216" s="304">
        <f t="shared" ca="1" si="88"/>
        <v>26.283932999999987</v>
      </c>
      <c r="U216" s="311">
        <f t="shared" ca="1" si="89"/>
        <v>0</v>
      </c>
      <c r="V216" s="306">
        <f t="shared" ca="1" si="90"/>
        <v>1.1075779124617549</v>
      </c>
      <c r="W216" s="304">
        <f t="shared" ca="1" si="91"/>
        <v>33.995886021863498</v>
      </c>
      <c r="Y216" s="314" t="str">
        <f t="shared" ca="1" si="109"/>
        <v/>
      </c>
      <c r="Z216" s="315" t="str">
        <f t="shared" ca="1" si="110"/>
        <v/>
      </c>
      <c r="AA216" s="316" t="str">
        <f t="shared" ca="1" si="111"/>
        <v/>
      </c>
      <c r="AC216" s="310" t="e">
        <f t="shared" ca="1" si="112"/>
        <v>#N/A</v>
      </c>
      <c r="AD216" s="323" t="e">
        <f t="shared" ca="1" si="113"/>
        <v>#N/A</v>
      </c>
      <c r="AE216" s="324">
        <f t="shared" ca="1" si="92"/>
        <v>1006.8009896768708</v>
      </c>
      <c r="AG216" s="306">
        <f t="shared" ca="1" si="114"/>
        <v>-22.665562715985359</v>
      </c>
      <c r="AH216" s="304">
        <f t="shared" ca="1" si="115"/>
        <v>-13.178213841111024</v>
      </c>
    </row>
    <row r="217" spans="1:34" x14ac:dyDescent="0.2">
      <c r="A217" s="347">
        <f t="shared" ca="1" si="93"/>
        <v>0.1</v>
      </c>
      <c r="B217" s="304">
        <f t="shared" ca="1" si="94"/>
        <v>6.4999999999999529</v>
      </c>
      <c r="D217" s="306">
        <f t="shared" ca="1" si="95"/>
        <v>-3.2523927470256915</v>
      </c>
      <c r="E217" s="307">
        <f t="shared" ca="1" si="96"/>
        <v>-22.074422985477277</v>
      </c>
      <c r="F217" s="304">
        <f t="shared" ca="1" si="97"/>
        <v>22.312736468722811</v>
      </c>
      <c r="G217" s="306">
        <f t="shared" ca="1" si="98"/>
        <v>31.057262917270698</v>
      </c>
      <c r="H217" s="307">
        <f t="shared" ca="1" si="99"/>
        <v>116.13259568641203</v>
      </c>
      <c r="I217" s="304">
        <f t="shared" ca="1" si="100"/>
        <v>120.21369872346547</v>
      </c>
      <c r="J217" s="306">
        <f t="shared" ca="1" si="101"/>
        <v>224.00169776068293</v>
      </c>
      <c r="K217" s="307">
        <f t="shared" ca="1" si="102"/>
        <v>1018.5246213604394</v>
      </c>
      <c r="L217" s="304">
        <f t="shared" ca="1" si="87"/>
        <v>1042.8658422429487</v>
      </c>
      <c r="M217" s="306">
        <f t="shared" ca="1" si="103"/>
        <v>1.3094820349382155</v>
      </c>
      <c r="N217" s="304">
        <f t="shared" ca="1" si="104"/>
        <v>75.027793950162362</v>
      </c>
      <c r="P217" s="310">
        <f t="shared" ca="1" si="105"/>
        <v>23</v>
      </c>
      <c r="Q217" s="304">
        <f t="shared" ca="1" si="106"/>
        <v>0</v>
      </c>
      <c r="R217" s="306">
        <f t="shared" ca="1" si="107"/>
        <v>0</v>
      </c>
      <c r="S217" s="307">
        <f t="shared" ca="1" si="108"/>
        <v>2.6792999999999987</v>
      </c>
      <c r="T217" s="304">
        <f t="shared" ca="1" si="88"/>
        <v>26.283932999999987</v>
      </c>
      <c r="U217" s="311">
        <f t="shared" ca="1" si="89"/>
        <v>0</v>
      </c>
      <c r="V217" s="306">
        <f t="shared" ca="1" si="90"/>
        <v>1.1062768561406495</v>
      </c>
      <c r="W217" s="304">
        <f t="shared" ca="1" si="91"/>
        <v>32.737432473774923</v>
      </c>
      <c r="Y217" s="314" t="str">
        <f t="shared" ca="1" si="109"/>
        <v/>
      </c>
      <c r="Z217" s="315" t="str">
        <f t="shared" ca="1" si="110"/>
        <v/>
      </c>
      <c r="AA217" s="316" t="str">
        <f t="shared" ca="1" si="111"/>
        <v/>
      </c>
      <c r="AC217" s="310" t="e">
        <f t="shared" ca="1" si="112"/>
        <v>#N/A</v>
      </c>
      <c r="AD217" s="323" t="e">
        <f t="shared" ca="1" si="113"/>
        <v>#N/A</v>
      </c>
      <c r="AE217" s="324">
        <f t="shared" ca="1" si="92"/>
        <v>1018.5246213604394</v>
      </c>
      <c r="AG217" s="306">
        <f t="shared" ca="1" si="114"/>
        <v>-22.170589799659453</v>
      </c>
      <c r="AH217" s="304">
        <f t="shared" ca="1" si="115"/>
        <v>-12.688346217991086</v>
      </c>
    </row>
    <row r="218" spans="1:34" x14ac:dyDescent="0.2">
      <c r="A218" s="347">
        <f t="shared" ca="1" si="93"/>
        <v>0.1</v>
      </c>
      <c r="B218" s="304">
        <f t="shared" ca="1" si="94"/>
        <v>6.5999999999999526</v>
      </c>
      <c r="D218" s="306">
        <f t="shared" ca="1" si="95"/>
        <v>-3.1566940413425417</v>
      </c>
      <c r="E218" s="307">
        <f t="shared" ca="1" si="96"/>
        <v>-21.613843557800418</v>
      </c>
      <c r="F218" s="304">
        <f t="shared" ca="1" si="97"/>
        <v>21.84314424737698</v>
      </c>
      <c r="G218" s="306">
        <f t="shared" ca="1" si="98"/>
        <v>30.741593513136444</v>
      </c>
      <c r="H218" s="307">
        <f t="shared" ca="1" si="99"/>
        <v>113.97121133063199</v>
      </c>
      <c r="I218" s="304">
        <f t="shared" ca="1" si="100"/>
        <v>118.04440937163643</v>
      </c>
      <c r="J218" s="306">
        <f t="shared" ca="1" si="101"/>
        <v>227.0916405822033</v>
      </c>
      <c r="K218" s="307">
        <f t="shared" ca="1" si="102"/>
        <v>1030.0298117112916</v>
      </c>
      <c r="L218" s="304">
        <f t="shared" ca="1" si="87"/>
        <v>1054.766337269215</v>
      </c>
      <c r="M218" s="306">
        <f t="shared" ca="1" si="103"/>
        <v>1.3073350295398278</v>
      </c>
      <c r="N218" s="304">
        <f t="shared" ca="1" si="104"/>
        <v>74.90477960224294</v>
      </c>
      <c r="P218" s="310">
        <f t="shared" ca="1" si="105"/>
        <v>23</v>
      </c>
      <c r="Q218" s="304">
        <f t="shared" ca="1" si="106"/>
        <v>0</v>
      </c>
      <c r="R218" s="306">
        <f t="shared" ca="1" si="107"/>
        <v>0</v>
      </c>
      <c r="S218" s="307">
        <f t="shared" ca="1" si="108"/>
        <v>2.6792999999999987</v>
      </c>
      <c r="T218" s="304">
        <f t="shared" ca="1" si="88"/>
        <v>26.283932999999987</v>
      </c>
      <c r="U218" s="311">
        <f t="shared" ca="1" si="89"/>
        <v>0</v>
      </c>
      <c r="V218" s="306">
        <f t="shared" ca="1" si="90"/>
        <v>1.1050014521478555</v>
      </c>
      <c r="W218" s="304">
        <f t="shared" ca="1" si="91"/>
        <v>31.53018836458763</v>
      </c>
      <c r="Y218" s="314" t="str">
        <f t="shared" ca="1" si="109"/>
        <v/>
      </c>
      <c r="Z218" s="315" t="str">
        <f t="shared" ca="1" si="110"/>
        <v/>
      </c>
      <c r="AA218" s="316" t="str">
        <f t="shared" ca="1" si="111"/>
        <v/>
      </c>
      <c r="AC218" s="310" t="e">
        <f t="shared" ca="1" si="112"/>
        <v>#N/A</v>
      </c>
      <c r="AD218" s="323" t="e">
        <f t="shared" ca="1" si="113"/>
        <v>#N/A</v>
      </c>
      <c r="AE218" s="324">
        <f t="shared" ca="1" si="92"/>
        <v>1030.0298117112916</v>
      </c>
      <c r="AG218" s="306">
        <f t="shared" ca="1" si="114"/>
        <v>-21.695614223786102</v>
      </c>
      <c r="AH218" s="304">
        <f t="shared" ca="1" si="115"/>
        <v>-12.218651317051073</v>
      </c>
    </row>
    <row r="219" spans="1:34" x14ac:dyDescent="0.2">
      <c r="A219" s="347">
        <f t="shared" ca="1" si="93"/>
        <v>0.1</v>
      </c>
      <c r="B219" s="304">
        <f t="shared" ca="1" si="94"/>
        <v>6.6999999999999522</v>
      </c>
      <c r="D219" s="306">
        <f t="shared" ca="1" si="95"/>
        <v>-3.0646873333331879</v>
      </c>
      <c r="E219" s="307">
        <f t="shared" ca="1" si="96"/>
        <v>-21.17200462674036</v>
      </c>
      <c r="F219" s="304">
        <f t="shared" ca="1" si="97"/>
        <v>21.392664358742419</v>
      </c>
      <c r="G219" s="306">
        <f t="shared" ca="1" si="98"/>
        <v>30.435124779803125</v>
      </c>
      <c r="H219" s="307">
        <f t="shared" ca="1" si="99"/>
        <v>111.85401086795795</v>
      </c>
      <c r="I219" s="304">
        <f t="shared" ca="1" si="100"/>
        <v>115.92073398495819</v>
      </c>
      <c r="J219" s="306">
        <f t="shared" ca="1" si="101"/>
        <v>230.15047649685027</v>
      </c>
      <c r="K219" s="307">
        <f t="shared" ca="1" si="102"/>
        <v>1041.3210728212212</v>
      </c>
      <c r="L219" s="304">
        <f t="shared" ca="1" si="87"/>
        <v>1066.451507820804</v>
      </c>
      <c r="M219" s="306">
        <f t="shared" ca="1" si="103"/>
        <v>1.3051311432216448</v>
      </c>
      <c r="N219" s="304">
        <f t="shared" ca="1" si="104"/>
        <v>74.778506217684424</v>
      </c>
      <c r="P219" s="310">
        <f t="shared" ca="1" si="105"/>
        <v>23</v>
      </c>
      <c r="Q219" s="304">
        <f t="shared" ca="1" si="106"/>
        <v>0</v>
      </c>
      <c r="R219" s="306">
        <f t="shared" ca="1" si="107"/>
        <v>0</v>
      </c>
      <c r="S219" s="307">
        <f t="shared" ca="1" si="108"/>
        <v>2.6792999999999987</v>
      </c>
      <c r="T219" s="304">
        <f t="shared" ca="1" si="88"/>
        <v>26.283932999999987</v>
      </c>
      <c r="U219" s="311">
        <f t="shared" ca="1" si="89"/>
        <v>0</v>
      </c>
      <c r="V219" s="306">
        <f t="shared" ca="1" si="90"/>
        <v>1.1037511193055558</v>
      </c>
      <c r="W219" s="304">
        <f t="shared" ca="1" si="91"/>
        <v>30.371502064735331</v>
      </c>
      <c r="Y219" s="314" t="str">
        <f t="shared" ca="1" si="109"/>
        <v/>
      </c>
      <c r="Z219" s="315" t="str">
        <f t="shared" ca="1" si="110"/>
        <v/>
      </c>
      <c r="AA219" s="316" t="str">
        <f t="shared" ca="1" si="111"/>
        <v/>
      </c>
      <c r="AC219" s="310" t="e">
        <f t="shared" ca="1" si="112"/>
        <v>#N/A</v>
      </c>
      <c r="AD219" s="323" t="e">
        <f t="shared" ca="1" si="113"/>
        <v>#N/A</v>
      </c>
      <c r="AE219" s="324">
        <f t="shared" ca="1" si="92"/>
        <v>1041.3210728212212</v>
      </c>
      <c r="AG219" s="306">
        <f t="shared" ca="1" si="114"/>
        <v>-21.239569067266309</v>
      </c>
      <c r="AH219" s="304">
        <f t="shared" ca="1" si="115"/>
        <v>-11.768069407900439</v>
      </c>
    </row>
    <row r="220" spans="1:34" x14ac:dyDescent="0.2">
      <c r="A220" s="347">
        <f t="shared" ca="1" si="93"/>
        <v>0.1</v>
      </c>
      <c r="B220" s="304">
        <f t="shared" ca="1" si="94"/>
        <v>6.7999999999999519</v>
      </c>
      <c r="D220" s="306">
        <f t="shared" ca="1" si="95"/>
        <v>-2.9761779264325146</v>
      </c>
      <c r="E220" s="307">
        <f t="shared" ca="1" si="96"/>
        <v>-20.747935708713477</v>
      </c>
      <c r="F220" s="304">
        <f t="shared" ca="1" si="97"/>
        <v>20.960307040277154</v>
      </c>
      <c r="G220" s="306">
        <f t="shared" ca="1" si="98"/>
        <v>30.137506987159874</v>
      </c>
      <c r="H220" s="307">
        <f t="shared" ca="1" si="99"/>
        <v>109.7792172970866</v>
      </c>
      <c r="I220" s="304">
        <f t="shared" ca="1" si="100"/>
        <v>113.84087964242927</v>
      </c>
      <c r="J220" s="306">
        <f t="shared" ca="1" si="101"/>
        <v>233.17910808519844</v>
      </c>
      <c r="K220" s="307">
        <f t="shared" ca="1" si="102"/>
        <v>1052.4027342294735</v>
      </c>
      <c r="L220" s="304">
        <f t="shared" ca="1" si="87"/>
        <v>1077.9257912588789</v>
      </c>
      <c r="M220" s="306">
        <f t="shared" ca="1" si="103"/>
        <v>1.3028686613954359</v>
      </c>
      <c r="N220" s="304">
        <f t="shared" ca="1" si="104"/>
        <v>74.648875557817604</v>
      </c>
      <c r="P220" s="310">
        <f t="shared" ca="1" si="105"/>
        <v>23</v>
      </c>
      <c r="Q220" s="304">
        <f t="shared" ca="1" si="106"/>
        <v>0</v>
      </c>
      <c r="R220" s="306">
        <f t="shared" ca="1" si="107"/>
        <v>0</v>
      </c>
      <c r="S220" s="307">
        <f t="shared" ca="1" si="108"/>
        <v>2.6792999999999987</v>
      </c>
      <c r="T220" s="304">
        <f t="shared" ca="1" si="88"/>
        <v>26.283932999999987</v>
      </c>
      <c r="U220" s="311">
        <f t="shared" ca="1" si="89"/>
        <v>0</v>
      </c>
      <c r="V220" s="306">
        <f t="shared" ca="1" si="90"/>
        <v>1.1025253004888624</v>
      </c>
      <c r="W220" s="304">
        <f t="shared" ca="1" si="91"/>
        <v>29.258894937849853</v>
      </c>
      <c r="Y220" s="314" t="str">
        <f t="shared" ca="1" si="109"/>
        <v/>
      </c>
      <c r="Z220" s="315" t="str">
        <f t="shared" ca="1" si="110"/>
        <v/>
      </c>
      <c r="AA220" s="316" t="str">
        <f t="shared" ca="1" si="111"/>
        <v/>
      </c>
      <c r="AC220" s="310" t="e">
        <f t="shared" ca="1" si="112"/>
        <v>#N/A</v>
      </c>
      <c r="AD220" s="323" t="e">
        <f t="shared" ca="1" si="113"/>
        <v>#N/A</v>
      </c>
      <c r="AE220" s="324">
        <f t="shared" ca="1" si="92"/>
        <v>1052.4027342294735</v>
      </c>
      <c r="AG220" s="306">
        <f t="shared" ca="1" si="114"/>
        <v>-20.801457081188694</v>
      </c>
      <c r="AH220" s="304">
        <f t="shared" ca="1" si="115"/>
        <v>-11.33561081802536</v>
      </c>
    </row>
    <row r="221" spans="1:34" x14ac:dyDescent="0.2">
      <c r="A221" s="347">
        <f t="shared" ca="1" si="93"/>
        <v>0.1</v>
      </c>
      <c r="B221" s="304">
        <f t="shared" ca="1" si="94"/>
        <v>6.8999999999999515</v>
      </c>
      <c r="D221" s="306">
        <f t="shared" ca="1" si="95"/>
        <v>-2.8909837904097788</v>
      </c>
      <c r="E221" s="307">
        <f t="shared" ca="1" si="96"/>
        <v>-20.340729627535751</v>
      </c>
      <c r="F221" s="304">
        <f t="shared" ca="1" si="97"/>
        <v>20.54514709260858</v>
      </c>
      <c r="G221" s="306">
        <f t="shared" ca="1" si="98"/>
        <v>29.848408608118895</v>
      </c>
      <c r="H221" s="307">
        <f t="shared" ca="1" si="99"/>
        <v>107.74514433433303</v>
      </c>
      <c r="I221" s="304">
        <f t="shared" ca="1" si="100"/>
        <v>111.80314675385252</v>
      </c>
      <c r="J221" s="306">
        <f t="shared" ca="1" si="101"/>
        <v>236.17840386496238</v>
      </c>
      <c r="K221" s="307">
        <f t="shared" ca="1" si="102"/>
        <v>1063.2789523110446</v>
      </c>
      <c r="L221" s="304">
        <f t="shared" ca="1" si="87"/>
        <v>1089.1934487867038</v>
      </c>
      <c r="M221" s="306">
        <f t="shared" ca="1" si="103"/>
        <v>1.3005457938188019</v>
      </c>
      <c r="N221" s="304">
        <f t="shared" ca="1" si="104"/>
        <v>74.51578504930869</v>
      </c>
      <c r="P221" s="310">
        <f t="shared" ca="1" si="105"/>
        <v>23</v>
      </c>
      <c r="Q221" s="304">
        <f t="shared" ca="1" si="106"/>
        <v>0</v>
      </c>
      <c r="R221" s="306">
        <f t="shared" ca="1" si="107"/>
        <v>0</v>
      </c>
      <c r="S221" s="307">
        <f t="shared" ca="1" si="108"/>
        <v>2.6792999999999987</v>
      </c>
      <c r="T221" s="304">
        <f t="shared" ca="1" si="88"/>
        <v>26.283932999999987</v>
      </c>
      <c r="U221" s="311">
        <f t="shared" ca="1" si="89"/>
        <v>0</v>
      </c>
      <c r="V221" s="306">
        <f t="shared" ca="1" si="90"/>
        <v>1.1013234613632539</v>
      </c>
      <c r="W221" s="304">
        <f t="shared" ca="1" si="91"/>
        <v>28.190047962030192</v>
      </c>
      <c r="Y221" s="314" t="str">
        <f t="shared" ca="1" si="109"/>
        <v/>
      </c>
      <c r="Z221" s="315" t="str">
        <f t="shared" ca="1" si="110"/>
        <v/>
      </c>
      <c r="AA221" s="316" t="str">
        <f t="shared" ca="1" si="111"/>
        <v/>
      </c>
      <c r="AC221" s="310" t="e">
        <f t="shared" ca="1" si="112"/>
        <v>#N/A</v>
      </c>
      <c r="AD221" s="323" t="e">
        <f t="shared" ca="1" si="113"/>
        <v>#N/A</v>
      </c>
      <c r="AE221" s="324">
        <f t="shared" ca="1" si="92"/>
        <v>1063.2789523110446</v>
      </c>
      <c r="AG221" s="306">
        <f t="shared" ca="1" si="114"/>
        <v>-20.380345173308481</v>
      </c>
      <c r="AH221" s="304">
        <f t="shared" ca="1" si="115"/>
        <v>-10.920350441477202</v>
      </c>
    </row>
    <row r="222" spans="1:34" x14ac:dyDescent="0.2">
      <c r="A222" s="347">
        <f t="shared" ca="1" si="93"/>
        <v>0.1</v>
      </c>
      <c r="B222" s="304">
        <f t="shared" ca="1" si="94"/>
        <v>6.9999999999999512</v>
      </c>
      <c r="D222" s="306">
        <f t="shared" ca="1" si="95"/>
        <v>-2.8089345815819167</v>
      </c>
      <c r="E222" s="307">
        <f t="shared" ca="1" si="96"/>
        <v>-19.949537617959347</v>
      </c>
      <c r="F222" s="304">
        <f t="shared" ca="1" si="97"/>
        <v>20.14631888593998</v>
      </c>
      <c r="G222" s="306">
        <f t="shared" ca="1" si="98"/>
        <v>29.567515149960702</v>
      </c>
      <c r="H222" s="307">
        <f t="shared" ca="1" si="99"/>
        <v>105.75019057253709</v>
      </c>
      <c r="I222" s="304">
        <f t="shared" ca="1" si="100"/>
        <v>109.80592314748358</v>
      </c>
      <c r="J222" s="306">
        <f t="shared" ca="1" si="101"/>
        <v>239.14920005286635</v>
      </c>
      <c r="K222" s="307">
        <f t="shared" ca="1" si="102"/>
        <v>1073.9537190563881</v>
      </c>
      <c r="L222" s="304">
        <f t="shared" ca="1" si="87"/>
        <v>1100.2585744092037</v>
      </c>
      <c r="M222" s="306">
        <f t="shared" ca="1" si="103"/>
        <v>1.2981606706787474</v>
      </c>
      <c r="N222" s="304">
        <f t="shared" ca="1" si="104"/>
        <v>74.379127559764584</v>
      </c>
      <c r="P222" s="310">
        <f t="shared" ca="1" si="105"/>
        <v>23</v>
      </c>
      <c r="Q222" s="304">
        <f t="shared" ca="1" si="106"/>
        <v>0</v>
      </c>
      <c r="R222" s="306">
        <f t="shared" ca="1" si="107"/>
        <v>0</v>
      </c>
      <c r="S222" s="307">
        <f t="shared" ca="1" si="108"/>
        <v>2.6792999999999987</v>
      </c>
      <c r="T222" s="304">
        <f t="shared" ca="1" si="88"/>
        <v>26.283932999999987</v>
      </c>
      <c r="U222" s="311">
        <f t="shared" ca="1" si="89"/>
        <v>0</v>
      </c>
      <c r="V222" s="306">
        <f t="shared" ca="1" si="90"/>
        <v>1.100145089205123</v>
      </c>
      <c r="W222" s="304">
        <f t="shared" ca="1" si="91"/>
        <v>27.162789548429117</v>
      </c>
      <c r="Y222" s="314" t="str">
        <f t="shared" ca="1" si="109"/>
        <v/>
      </c>
      <c r="Z222" s="315" t="str">
        <f t="shared" ca="1" si="110"/>
        <v/>
      </c>
      <c r="AA222" s="316" t="str">
        <f t="shared" ca="1" si="111"/>
        <v/>
      </c>
      <c r="AC222" s="310">
        <f t="shared" ca="1" si="112"/>
        <v>6.9999999999999512</v>
      </c>
      <c r="AD222" s="323">
        <f t="shared" ca="1" si="113"/>
        <v>239.14920005286635</v>
      </c>
      <c r="AE222" s="324">
        <f t="shared" ca="1" si="92"/>
        <v>1073.9537190563881</v>
      </c>
      <c r="AG222" s="306">
        <f t="shared" ca="1" si="114"/>
        <v>-19.975359388691025</v>
      </c>
      <c r="AH222" s="304">
        <f t="shared" ca="1" si="115"/>
        <v>-10.5214227455045</v>
      </c>
    </row>
    <row r="223" spans="1:34" x14ac:dyDescent="0.2">
      <c r="A223" s="347">
        <f t="shared" ca="1" si="93"/>
        <v>0.1</v>
      </c>
      <c r="B223" s="304">
        <f t="shared" ca="1" si="94"/>
        <v>7.0999999999999508</v>
      </c>
      <c r="D223" s="306">
        <f t="shared" ca="1" si="95"/>
        <v>-2.7298707507827484</v>
      </c>
      <c r="E223" s="307">
        <f t="shared" ca="1" si="96"/>
        <v>-19.573564867372841</v>
      </c>
      <c r="F223" s="304">
        <f t="shared" ca="1" si="97"/>
        <v>19.763011813315085</v>
      </c>
      <c r="G223" s="306">
        <f t="shared" ca="1" si="98"/>
        <v>29.294528074882425</v>
      </c>
      <c r="H223" s="307">
        <f t="shared" ca="1" si="99"/>
        <v>103.79283408579981</v>
      </c>
      <c r="I223" s="304">
        <f t="shared" ca="1" si="100"/>
        <v>107.84767861522306</v>
      </c>
      <c r="J223" s="306">
        <f t="shared" ca="1" si="101"/>
        <v>242.09230221410851</v>
      </c>
      <c r="K223" s="307">
        <f t="shared" ca="1" si="102"/>
        <v>1084.4308702893049</v>
      </c>
      <c r="L223" s="304">
        <f t="shared" ca="1" si="87"/>
        <v>1111.1251033199396</v>
      </c>
      <c r="M223" s="306">
        <f t="shared" ca="1" si="103"/>
        <v>1.2957113384295424</v>
      </c>
      <c r="N223" s="304">
        <f t="shared" ca="1" si="104"/>
        <v>74.238791159259861</v>
      </c>
      <c r="P223" s="310">
        <f t="shared" ca="1" si="105"/>
        <v>23</v>
      </c>
      <c r="Q223" s="304">
        <f t="shared" ca="1" si="106"/>
        <v>0</v>
      </c>
      <c r="R223" s="306">
        <f t="shared" ca="1" si="107"/>
        <v>0</v>
      </c>
      <c r="S223" s="307">
        <f t="shared" ca="1" si="108"/>
        <v>2.6792999999999987</v>
      </c>
      <c r="T223" s="304">
        <f t="shared" ca="1" si="88"/>
        <v>26.283932999999987</v>
      </c>
      <c r="U223" s="311">
        <f t="shared" ca="1" si="89"/>
        <v>0</v>
      </c>
      <c r="V223" s="306">
        <f t="shared" ca="1" si="90"/>
        <v>1.0989896917989546</v>
      </c>
      <c r="W223" s="304">
        <f t="shared" ca="1" si="91"/>
        <v>26.175084435956567</v>
      </c>
      <c r="Y223" s="314" t="str">
        <f t="shared" ca="1" si="109"/>
        <v/>
      </c>
      <c r="Z223" s="315" t="str">
        <f t="shared" ca="1" si="110"/>
        <v/>
      </c>
      <c r="AA223" s="316" t="str">
        <f t="shared" ca="1" si="111"/>
        <v/>
      </c>
      <c r="AC223" s="310" t="e">
        <f t="shared" ca="1" si="112"/>
        <v>#N/A</v>
      </c>
      <c r="AD223" s="323" t="e">
        <f t="shared" ca="1" si="113"/>
        <v>#N/A</v>
      </c>
      <c r="AE223" s="324">
        <f t="shared" ca="1" si="92"/>
        <v>1084.4308702893049</v>
      </c>
      <c r="AG223" s="306">
        <f t="shared" ca="1" si="114"/>
        <v>-19.585680335306066</v>
      </c>
      <c r="AH223" s="304">
        <f t="shared" ca="1" si="115"/>
        <v>-10.138017224061931</v>
      </c>
    </row>
    <row r="224" spans="1:34" x14ac:dyDescent="0.2">
      <c r="A224" s="347">
        <f t="shared" ca="1" si="93"/>
        <v>0.1</v>
      </c>
      <c r="B224" s="304">
        <f t="shared" ca="1" si="94"/>
        <v>7.1999999999999504</v>
      </c>
      <c r="D224" s="306">
        <f t="shared" ca="1" si="95"/>
        <v>-2.6536427302106338</v>
      </c>
      <c r="E224" s="307">
        <f t="shared" ca="1" si="96"/>
        <v>-19.212066451307621</v>
      </c>
      <c r="F224" s="304">
        <f t="shared" ca="1" si="97"/>
        <v>19.394466145502935</v>
      </c>
      <c r="G224" s="306">
        <f t="shared" ca="1" si="98"/>
        <v>29.029163801861362</v>
      </c>
      <c r="H224" s="307">
        <f t="shared" ca="1" si="99"/>
        <v>101.87162744066904</v>
      </c>
      <c r="I224" s="304">
        <f t="shared" ca="1" si="100"/>
        <v>105.92695987540552</v>
      </c>
      <c r="J224" s="306">
        <f t="shared" ca="1" si="101"/>
        <v>245.0084868079457</v>
      </c>
      <c r="K224" s="307">
        <f t="shared" ca="1" si="102"/>
        <v>1094.7140933656283</v>
      </c>
      <c r="L224" s="304">
        <f t="shared" ca="1" si="87"/>
        <v>1121.7968197589298</v>
      </c>
      <c r="M224" s="306">
        <f t="shared" ca="1" si="103"/>
        <v>1.29319575536752</v>
      </c>
      <c r="N224" s="304">
        <f t="shared" ca="1" si="104"/>
        <v>74.094658866791363</v>
      </c>
      <c r="P224" s="310">
        <f t="shared" ca="1" si="105"/>
        <v>23</v>
      </c>
      <c r="Q224" s="304">
        <f t="shared" ca="1" si="106"/>
        <v>0</v>
      </c>
      <c r="R224" s="306">
        <f t="shared" ca="1" si="107"/>
        <v>0</v>
      </c>
      <c r="S224" s="307">
        <f t="shared" ca="1" si="108"/>
        <v>2.6792999999999987</v>
      </c>
      <c r="T224" s="304">
        <f t="shared" ca="1" si="88"/>
        <v>26.283932999999987</v>
      </c>
      <c r="U224" s="311">
        <f t="shared" ca="1" si="89"/>
        <v>0</v>
      </c>
      <c r="V224" s="306">
        <f t="shared" ca="1" si="90"/>
        <v>1.0978567964052521</v>
      </c>
      <c r="W224" s="304">
        <f t="shared" ca="1" si="91"/>
        <v>25.225023554560984</v>
      </c>
      <c r="Y224" s="314" t="str">
        <f t="shared" ca="1" si="109"/>
        <v/>
      </c>
      <c r="Z224" s="315" t="str">
        <f t="shared" ca="1" si="110"/>
        <v/>
      </c>
      <c r="AA224" s="316" t="str">
        <f t="shared" ca="1" si="111"/>
        <v/>
      </c>
      <c r="AC224" s="310" t="e">
        <f t="shared" ca="1" si="112"/>
        <v>#N/A</v>
      </c>
      <c r="AD224" s="323" t="e">
        <f t="shared" ca="1" si="113"/>
        <v>#N/A</v>
      </c>
      <c r="AE224" s="324">
        <f t="shared" ca="1" si="92"/>
        <v>1094.7140933656283</v>
      </c>
      <c r="AG224" s="306">
        <f t="shared" ca="1" si="114"/>
        <v>-19.210539009175783</v>
      </c>
      <c r="AH224" s="304">
        <f t="shared" ca="1" si="115"/>
        <v>-9.7693742529603185</v>
      </c>
    </row>
    <row r="225" spans="1:34" x14ac:dyDescent="0.2">
      <c r="A225" s="347">
        <f t="shared" ca="1" si="93"/>
        <v>0.1</v>
      </c>
      <c r="B225" s="304">
        <f t="shared" ca="1" si="94"/>
        <v>7.2999999999999501</v>
      </c>
      <c r="D225" s="306">
        <f t="shared" ca="1" si="95"/>
        <v>-2.580110191278596</v>
      </c>
      <c r="E225" s="307">
        <f t="shared" ca="1" si="96"/>
        <v>-18.864343623392728</v>
      </c>
      <c r="F225" s="304">
        <f t="shared" ca="1" si="97"/>
        <v>19.039969247364279</v>
      </c>
      <c r="G225" s="306">
        <f t="shared" ca="1" si="98"/>
        <v>28.771152782733502</v>
      </c>
      <c r="H225" s="307">
        <f t="shared" ca="1" si="99"/>
        <v>99.985193078329772</v>
      </c>
      <c r="I225" s="304">
        <f t="shared" ca="1" si="100"/>
        <v>104.04238591727065</v>
      </c>
      <c r="J225" s="306">
        <f t="shared" ca="1" si="101"/>
        <v>247.89850263717545</v>
      </c>
      <c r="K225" s="307">
        <f t="shared" ca="1" si="102"/>
        <v>1104.8069343915781</v>
      </c>
      <c r="L225" s="304">
        <f t="shared" ca="1" si="87"/>
        <v>1132.2773643809501</v>
      </c>
      <c r="M225" s="306">
        <f t="shared" ca="1" si="103"/>
        <v>1.2906117869240945</v>
      </c>
      <c r="N225" s="304">
        <f t="shared" ca="1" si="104"/>
        <v>73.946608380588103</v>
      </c>
      <c r="P225" s="310">
        <f t="shared" ca="1" si="105"/>
        <v>23</v>
      </c>
      <c r="Q225" s="304">
        <f t="shared" ca="1" si="106"/>
        <v>0</v>
      </c>
      <c r="R225" s="306">
        <f t="shared" ca="1" si="107"/>
        <v>0</v>
      </c>
      <c r="S225" s="307">
        <f t="shared" ca="1" si="108"/>
        <v>2.6792999999999987</v>
      </c>
      <c r="T225" s="304">
        <f t="shared" ca="1" si="88"/>
        <v>26.283932999999987</v>
      </c>
      <c r="U225" s="311">
        <f t="shared" ca="1" si="89"/>
        <v>0</v>
      </c>
      <c r="V225" s="306">
        <f t="shared" ca="1" si="90"/>
        <v>1.09674594879385</v>
      </c>
      <c r="W225" s="304">
        <f t="shared" ca="1" si="91"/>
        <v>24.31081476151785</v>
      </c>
      <c r="Y225" s="314" t="str">
        <f t="shared" ca="1" si="109"/>
        <v/>
      </c>
      <c r="Z225" s="315" t="str">
        <f t="shared" ca="1" si="110"/>
        <v/>
      </c>
      <c r="AA225" s="316" t="str">
        <f t="shared" ca="1" si="111"/>
        <v/>
      </c>
      <c r="AC225" s="310" t="e">
        <f t="shared" ca="1" si="112"/>
        <v>#N/A</v>
      </c>
      <c r="AD225" s="323" t="e">
        <f t="shared" ca="1" si="113"/>
        <v>#N/A</v>
      </c>
      <c r="AE225" s="324">
        <f t="shared" ca="1" si="92"/>
        <v>1104.8069343915781</v>
      </c>
      <c r="AG225" s="306">
        <f t="shared" ca="1" si="114"/>
        <v>-18.849212978763958</v>
      </c>
      <c r="AH225" s="304">
        <f t="shared" ca="1" si="115"/>
        <v>-9.414781306520732</v>
      </c>
    </row>
    <row r="226" spans="1:34" x14ac:dyDescent="0.2">
      <c r="A226" s="347">
        <f t="shared" ca="1" si="93"/>
        <v>0.1</v>
      </c>
      <c r="B226" s="304">
        <f t="shared" ca="1" si="94"/>
        <v>7.3999999999999497</v>
      </c>
      <c r="D226" s="306">
        <f t="shared" ca="1" si="95"/>
        <v>-2.5091413664680182</v>
      </c>
      <c r="E226" s="307">
        <f t="shared" ca="1" si="96"/>
        <v>-18.529740424780215</v>
      </c>
      <c r="F226" s="304">
        <f t="shared" ca="1" si="97"/>
        <v>18.69885212002745</v>
      </c>
      <c r="G226" s="306">
        <f t="shared" ca="1" si="98"/>
        <v>28.5202386460867</v>
      </c>
      <c r="H226" s="307">
        <f t="shared" ca="1" si="99"/>
        <v>98.132219035851747</v>
      </c>
      <c r="I226" s="304">
        <f t="shared" ca="1" si="100"/>
        <v>102.19264369478911</v>
      </c>
      <c r="J226" s="306">
        <f t="shared" ca="1" si="101"/>
        <v>250.76307220861648</v>
      </c>
      <c r="K226" s="307">
        <f t="shared" ca="1" si="102"/>
        <v>1114.7128049972871</v>
      </c>
      <c r="L226" s="304">
        <f t="shared" ca="1" si="87"/>
        <v>1142.570241170504</v>
      </c>
      <c r="M226" s="306">
        <f t="shared" ca="1" si="103"/>
        <v>1.287957200656785</v>
      </c>
      <c r="N226" s="304">
        <f t="shared" ca="1" si="104"/>
        <v>73.794511791117884</v>
      </c>
      <c r="P226" s="310">
        <f t="shared" ca="1" si="105"/>
        <v>23</v>
      </c>
      <c r="Q226" s="304">
        <f t="shared" ca="1" si="106"/>
        <v>0</v>
      </c>
      <c r="R226" s="306">
        <f t="shared" ca="1" si="107"/>
        <v>0</v>
      </c>
      <c r="S226" s="307">
        <f t="shared" ca="1" si="108"/>
        <v>2.6792999999999987</v>
      </c>
      <c r="T226" s="304">
        <f t="shared" ca="1" si="88"/>
        <v>26.283932999999987</v>
      </c>
      <c r="U226" s="311">
        <f t="shared" ca="1" si="89"/>
        <v>0</v>
      </c>
      <c r="V226" s="306">
        <f t="shared" ca="1" si="90"/>
        <v>1.0956567123377121</v>
      </c>
      <c r="W226" s="304">
        <f t="shared" ca="1" si="91"/>
        <v>23.43077436565866</v>
      </c>
      <c r="Y226" s="314" t="str">
        <f t="shared" ca="1" si="109"/>
        <v/>
      </c>
      <c r="Z226" s="315" t="str">
        <f t="shared" ca="1" si="110"/>
        <v/>
      </c>
      <c r="AA226" s="316" t="str">
        <f t="shared" ca="1" si="111"/>
        <v/>
      </c>
      <c r="AC226" s="310" t="e">
        <f t="shared" ca="1" si="112"/>
        <v>#N/A</v>
      </c>
      <c r="AD226" s="323" t="e">
        <f t="shared" ca="1" si="113"/>
        <v>#N/A</v>
      </c>
      <c r="AE226" s="324">
        <f t="shared" ca="1" si="92"/>
        <v>1114.7128049972871</v>
      </c>
      <c r="AG226" s="306">
        <f t="shared" ca="1" si="114"/>
        <v>-18.501022892743805</v>
      </c>
      <c r="AH226" s="304">
        <f t="shared" ca="1" si="115"/>
        <v>-9.0735695000626517</v>
      </c>
    </row>
    <row r="227" spans="1:34" x14ac:dyDescent="0.2">
      <c r="A227" s="347">
        <f t="shared" ca="1" si="93"/>
        <v>0.1</v>
      </c>
      <c r="B227" s="304">
        <f t="shared" ca="1" si="94"/>
        <v>7.4999999999999494</v>
      </c>
      <c r="D227" s="306">
        <f t="shared" ca="1" si="95"/>
        <v>-2.4406124289571594</v>
      </c>
      <c r="E227" s="307">
        <f t="shared" ca="1" si="96"/>
        <v>-18.207640581906865</v>
      </c>
      <c r="F227" s="304">
        <f t="shared" ca="1" si="97"/>
        <v>18.370486237121813</v>
      </c>
      <c r="G227" s="306">
        <f t="shared" ca="1" si="98"/>
        <v>28.276177403190985</v>
      </c>
      <c r="H227" s="307">
        <f t="shared" ca="1" si="99"/>
        <v>96.311454977661057</v>
      </c>
      <c r="I227" s="304">
        <f t="shared" ca="1" si="100"/>
        <v>100.37648414071276</v>
      </c>
      <c r="J227" s="306">
        <f t="shared" ca="1" si="101"/>
        <v>253.60289301108037</v>
      </c>
      <c r="K227" s="307">
        <f t="shared" ca="1" si="102"/>
        <v>1124.4349886979628</v>
      </c>
      <c r="L227" s="304">
        <f t="shared" ca="1" si="87"/>
        <v>1152.6788239365626</v>
      </c>
      <c r="M227" s="306">
        <f t="shared" ca="1" si="103"/>
        <v>1.285229660916424</v>
      </c>
      <c r="N227" s="304">
        <f t="shared" ca="1" si="104"/>
        <v>73.638235275540993</v>
      </c>
      <c r="P227" s="310">
        <f t="shared" ca="1" si="105"/>
        <v>23</v>
      </c>
      <c r="Q227" s="304">
        <f t="shared" ca="1" si="106"/>
        <v>0</v>
      </c>
      <c r="R227" s="306">
        <f t="shared" ca="1" si="107"/>
        <v>0</v>
      </c>
      <c r="S227" s="307">
        <f t="shared" ca="1" si="108"/>
        <v>2.6792999999999987</v>
      </c>
      <c r="T227" s="304">
        <f t="shared" ca="1" si="88"/>
        <v>26.283932999999987</v>
      </c>
      <c r="U227" s="311">
        <f t="shared" ca="1" si="89"/>
        <v>0</v>
      </c>
      <c r="V227" s="306">
        <f t="shared" ca="1" si="90"/>
        <v>1.0945886671627469</v>
      </c>
      <c r="W227" s="304">
        <f t="shared" ca="1" si="91"/>
        <v>22.583319363708299</v>
      </c>
      <c r="Y227" s="314" t="str">
        <f t="shared" ca="1" si="109"/>
        <v/>
      </c>
      <c r="Z227" s="315" t="str">
        <f t="shared" ca="1" si="110"/>
        <v/>
      </c>
      <c r="AA227" s="316" t="str">
        <f t="shared" ca="1" si="111"/>
        <v/>
      </c>
      <c r="AC227" s="310" t="e">
        <f t="shared" ca="1" si="112"/>
        <v>#N/A</v>
      </c>
      <c r="AD227" s="323" t="e">
        <f t="shared" ca="1" si="113"/>
        <v>#N/A</v>
      </c>
      <c r="AE227" s="324">
        <f t="shared" ca="1" si="92"/>
        <v>1124.4349886979628</v>
      </c>
      <c r="AG227" s="306">
        <f t="shared" ca="1" si="114"/>
        <v>-18.165329279184391</v>
      </c>
      <c r="AH227" s="304">
        <f t="shared" ca="1" si="115"/>
        <v>-8.74511042647657</v>
      </c>
    </row>
    <row r="228" spans="1:34" x14ac:dyDescent="0.2">
      <c r="A228" s="347">
        <f t="shared" ca="1" si="93"/>
        <v>0.1</v>
      </c>
      <c r="B228" s="304">
        <f t="shared" ca="1" si="94"/>
        <v>7.599999999999949</v>
      </c>
      <c r="D228" s="306">
        <f t="shared" ca="1" si="95"/>
        <v>-2.3744069244726012</v>
      </c>
      <c r="E228" s="307">
        <f t="shared" ca="1" si="96"/>
        <v>-17.897464664837713</v>
      </c>
      <c r="F228" s="304">
        <f t="shared" ca="1" si="97"/>
        <v>18.05428064676347</v>
      </c>
      <c r="G228" s="306">
        <f t="shared" ca="1" si="98"/>
        <v>28.038736710743724</v>
      </c>
      <c r="H228" s="307">
        <f t="shared" ca="1" si="99"/>
        <v>94.52170851117728</v>
      </c>
      <c r="I228" s="304">
        <f t="shared" ca="1" si="100"/>
        <v>98.59271847457282</v>
      </c>
      <c r="J228" s="306">
        <f t="shared" ca="1" si="101"/>
        <v>256.41863871677708</v>
      </c>
      <c r="K228" s="307">
        <f t="shared" ca="1" si="102"/>
        <v>1133.9766468724047</v>
      </c>
      <c r="L228" s="304">
        <f t="shared" ca="1" si="87"/>
        <v>1162.6063624173692</v>
      </c>
      <c r="M228" s="306">
        <f t="shared" ca="1" si="103"/>
        <v>1.2824267231669708</v>
      </c>
      <c r="N228" s="304">
        <f t="shared" ca="1" si="104"/>
        <v>73.477638772259425</v>
      </c>
      <c r="P228" s="310">
        <f t="shared" ca="1" si="105"/>
        <v>23</v>
      </c>
      <c r="Q228" s="304">
        <f t="shared" ca="1" si="106"/>
        <v>0</v>
      </c>
      <c r="R228" s="306">
        <f t="shared" ca="1" si="107"/>
        <v>0</v>
      </c>
      <c r="S228" s="307">
        <f t="shared" ca="1" si="108"/>
        <v>2.6792999999999987</v>
      </c>
      <c r="T228" s="304">
        <f t="shared" ca="1" si="88"/>
        <v>26.283932999999987</v>
      </c>
      <c r="U228" s="311">
        <f t="shared" ca="1" si="89"/>
        <v>0</v>
      </c>
      <c r="V228" s="306">
        <f t="shared" ca="1" si="90"/>
        <v>1.093541409349549</v>
      </c>
      <c r="W228" s="304">
        <f t="shared" ca="1" si="91"/>
        <v>21.766960321030162</v>
      </c>
      <c r="Y228" s="314" t="str">
        <f t="shared" ca="1" si="109"/>
        <v/>
      </c>
      <c r="Z228" s="315" t="str">
        <f t="shared" ca="1" si="110"/>
        <v/>
      </c>
      <c r="AA228" s="316" t="str">
        <f t="shared" ca="1" si="111"/>
        <v/>
      </c>
      <c r="AC228" s="310" t="e">
        <f t="shared" ca="1" si="112"/>
        <v>#N/A</v>
      </c>
      <c r="AD228" s="323" t="e">
        <f t="shared" ca="1" si="113"/>
        <v>#N/A</v>
      </c>
      <c r="AE228" s="324">
        <f t="shared" ca="1" si="92"/>
        <v>1133.9766468724047</v>
      </c>
      <c r="AG228" s="306">
        <f t="shared" ca="1" si="114"/>
        <v>-17.841529607622224</v>
      </c>
      <c r="AH228" s="304">
        <f t="shared" ca="1" si="115"/>
        <v>-8.4288132585781028</v>
      </c>
    </row>
    <row r="229" spans="1:34" x14ac:dyDescent="0.2">
      <c r="A229" s="347">
        <f t="shared" ca="1" si="93"/>
        <v>0.1</v>
      </c>
      <c r="B229" s="304">
        <f t="shared" ca="1" si="94"/>
        <v>7.6999999999999487</v>
      </c>
      <c r="D229" s="306">
        <f t="shared" ca="1" si="95"/>
        <v>-2.3104152504080435</v>
      </c>
      <c r="E229" s="307">
        <f t="shared" ca="1" si="96"/>
        <v>-17.598667481412186</v>
      </c>
      <c r="F229" s="304">
        <f t="shared" ca="1" si="97"/>
        <v>17.749679314022345</v>
      </c>
      <c r="G229" s="306">
        <f t="shared" ca="1" si="98"/>
        <v>27.807695185702919</v>
      </c>
      <c r="H229" s="307">
        <f t="shared" ca="1" si="99"/>
        <v>92.76184176303606</v>
      </c>
      <c r="I229" s="304">
        <f t="shared" ca="1" si="100"/>
        <v>96.840214780903423</v>
      </c>
      <c r="J229" s="306">
        <f t="shared" ca="1" si="101"/>
        <v>259.21096031159942</v>
      </c>
      <c r="K229" s="307">
        <f t="shared" ca="1" si="102"/>
        <v>1143.3408243861154</v>
      </c>
      <c r="L229" s="304">
        <f t="shared" ca="1" si="87"/>
        <v>1172.355988023085</v>
      </c>
      <c r="M229" s="306">
        <f t="shared" ca="1" si="103"/>
        <v>1.2795458279324543</v>
      </c>
      <c r="N229" s="304">
        <f t="shared" ca="1" si="104"/>
        <v>73.312575634102274</v>
      </c>
      <c r="P229" s="310">
        <f t="shared" ca="1" si="105"/>
        <v>23</v>
      </c>
      <c r="Q229" s="304">
        <f t="shared" ca="1" si="106"/>
        <v>0</v>
      </c>
      <c r="R229" s="306">
        <f t="shared" ca="1" si="107"/>
        <v>0</v>
      </c>
      <c r="S229" s="307">
        <f t="shared" ca="1" si="108"/>
        <v>2.6792999999999987</v>
      </c>
      <c r="T229" s="304">
        <f t="shared" ca="1" si="88"/>
        <v>26.283932999999987</v>
      </c>
      <c r="U229" s="311">
        <f t="shared" ca="1" si="89"/>
        <v>0</v>
      </c>
      <c r="V229" s="306">
        <f t="shared" ca="1" si="90"/>
        <v>1.0925145501833289</v>
      </c>
      <c r="W229" s="304">
        <f t="shared" ca="1" si="91"/>
        <v>20.980294836251556</v>
      </c>
      <c r="Y229" s="314" t="str">
        <f t="shared" ca="1" si="109"/>
        <v/>
      </c>
      <c r="Z229" s="315" t="str">
        <f t="shared" ca="1" si="110"/>
        <v/>
      </c>
      <c r="AA229" s="316" t="str">
        <f t="shared" ca="1" si="111"/>
        <v/>
      </c>
      <c r="AC229" s="310" t="e">
        <f t="shared" ca="1" si="112"/>
        <v>#N/A</v>
      </c>
      <c r="AD229" s="323" t="e">
        <f t="shared" ca="1" si="113"/>
        <v>#N/A</v>
      </c>
      <c r="AE229" s="324">
        <f t="shared" ca="1" si="92"/>
        <v>1143.3408243861154</v>
      </c>
      <c r="AG229" s="306">
        <f t="shared" ca="1" si="114"/>
        <v>-17.529055588497336</v>
      </c>
      <c r="AH229" s="304">
        <f t="shared" ca="1" si="115"/>
        <v>-8.1241220919755808</v>
      </c>
    </row>
    <row r="230" spans="1:34" x14ac:dyDescent="0.2">
      <c r="A230" s="347">
        <f t="shared" ca="1" si="93"/>
        <v>0.1</v>
      </c>
      <c r="B230" s="304">
        <f t="shared" ca="1" si="94"/>
        <v>7.7999999999999483</v>
      </c>
      <c r="D230" s="306">
        <f t="shared" ca="1" si="95"/>
        <v>-2.2485341777807912</v>
      </c>
      <c r="E230" s="307">
        <f t="shared" ca="1" si="96"/>
        <v>-17.310735685038676</v>
      </c>
      <c r="F230" s="304">
        <f t="shared" ca="1" si="97"/>
        <v>17.456158681276925</v>
      </c>
      <c r="G230" s="306">
        <f t="shared" ca="1" si="98"/>
        <v>27.58284176792484</v>
      </c>
      <c r="H230" s="307">
        <f t="shared" ca="1" si="99"/>
        <v>91.030768194532186</v>
      </c>
      <c r="I230" s="304">
        <f t="shared" ca="1" si="100"/>
        <v>95.117894836255871</v>
      </c>
      <c r="J230" s="306">
        <f t="shared" ca="1" si="101"/>
        <v>261.98048715928081</v>
      </c>
      <c r="K230" s="307">
        <f t="shared" ca="1" si="102"/>
        <v>1152.5304548839938</v>
      </c>
      <c r="L230" s="304">
        <f t="shared" ca="1" si="87"/>
        <v>1181.9307192417498</v>
      </c>
      <c r="M230" s="306">
        <f t="shared" ca="1" si="103"/>
        <v>1.2765842943434984</v>
      </c>
      <c r="N230" s="304">
        <f t="shared" ca="1" si="104"/>
        <v>73.142892258568864</v>
      </c>
      <c r="P230" s="310">
        <f t="shared" ca="1" si="105"/>
        <v>23</v>
      </c>
      <c r="Q230" s="304">
        <f t="shared" ca="1" si="106"/>
        <v>0</v>
      </c>
      <c r="R230" s="306">
        <f t="shared" ca="1" si="107"/>
        <v>0</v>
      </c>
      <c r="S230" s="307">
        <f t="shared" ca="1" si="108"/>
        <v>2.6792999999999987</v>
      </c>
      <c r="T230" s="304">
        <f t="shared" ca="1" si="88"/>
        <v>26.283932999999987</v>
      </c>
      <c r="U230" s="311">
        <f t="shared" ca="1" si="89"/>
        <v>0</v>
      </c>
      <c r="V230" s="306">
        <f t="shared" ca="1" si="90"/>
        <v>1.0915077154485882</v>
      </c>
      <c r="W230" s="304">
        <f t="shared" ca="1" si="91"/>
        <v>20.222001535578261</v>
      </c>
      <c r="Y230" s="314" t="str">
        <f t="shared" ca="1" si="109"/>
        <v/>
      </c>
      <c r="Z230" s="315" t="str">
        <f t="shared" ca="1" si="110"/>
        <v/>
      </c>
      <c r="AA230" s="316" t="str">
        <f t="shared" ca="1" si="111"/>
        <v/>
      </c>
      <c r="AC230" s="310" t="e">
        <f t="shared" ca="1" si="112"/>
        <v>#N/A</v>
      </c>
      <c r="AD230" s="323" t="e">
        <f t="shared" ca="1" si="113"/>
        <v>#N/A</v>
      </c>
      <c r="AE230" s="324">
        <f t="shared" ca="1" si="92"/>
        <v>1152.5304548839938</v>
      </c>
      <c r="AG230" s="306">
        <f t="shared" ca="1" si="114"/>
        <v>-17.22737068708615</v>
      </c>
      <c r="AH230" s="304">
        <f t="shared" ca="1" si="115"/>
        <v>-7.8305135058603241</v>
      </c>
    </row>
    <row r="231" spans="1:34" x14ac:dyDescent="0.2">
      <c r="A231" s="347">
        <f t="shared" ca="1" si="93"/>
        <v>0.1</v>
      </c>
      <c r="B231" s="304">
        <f t="shared" ca="1" si="94"/>
        <v>7.899999999999948</v>
      </c>
      <c r="D231" s="306">
        <f t="shared" ca="1" si="95"/>
        <v>-2.1886664120611097</v>
      </c>
      <c r="E231" s="307">
        <f t="shared" ca="1" si="96"/>
        <v>-17.033185576301936</v>
      </c>
      <c r="F231" s="304">
        <f t="shared" ca="1" si="97"/>
        <v>17.173225426227443</v>
      </c>
      <c r="G231" s="306">
        <f t="shared" ca="1" si="98"/>
        <v>27.363975126718728</v>
      </c>
      <c r="H231" s="307">
        <f t="shared" ca="1" si="99"/>
        <v>89.327449636901989</v>
      </c>
      <c r="I231" s="304">
        <f t="shared" ca="1" si="100"/>
        <v>93.424731165623072</v>
      </c>
      <c r="J231" s="306">
        <f t="shared" ca="1" si="101"/>
        <v>264.72782800401296</v>
      </c>
      <c r="K231" s="307">
        <f t="shared" ca="1" si="102"/>
        <v>1161.5483657755656</v>
      </c>
      <c r="L231" s="304">
        <f t="shared" ca="1" si="87"/>
        <v>1191.333466731968</v>
      </c>
      <c r="M231" s="306">
        <f t="shared" ca="1" si="103"/>
        <v>1.2735393132536514</v>
      </c>
      <c r="N231" s="304">
        <f t="shared" ca="1" si="104"/>
        <v>72.968427693423493</v>
      </c>
      <c r="P231" s="310">
        <f t="shared" ca="1" si="105"/>
        <v>23</v>
      </c>
      <c r="Q231" s="304">
        <f t="shared" ca="1" si="106"/>
        <v>0</v>
      </c>
      <c r="R231" s="306">
        <f t="shared" ca="1" si="107"/>
        <v>0</v>
      </c>
      <c r="S231" s="307">
        <f t="shared" ca="1" si="108"/>
        <v>2.6792999999999987</v>
      </c>
      <c r="T231" s="304">
        <f t="shared" ca="1" si="88"/>
        <v>26.283932999999987</v>
      </c>
      <c r="U231" s="311">
        <f t="shared" ca="1" si="89"/>
        <v>0</v>
      </c>
      <c r="V231" s="306">
        <f t="shared" ca="1" si="90"/>
        <v>1.0905205447654003</v>
      </c>
      <c r="W231" s="304">
        <f t="shared" ca="1" si="91"/>
        <v>19.490834548214053</v>
      </c>
      <c r="Y231" s="314" t="str">
        <f t="shared" ca="1" si="109"/>
        <v/>
      </c>
      <c r="Z231" s="315" t="str">
        <f t="shared" ca="1" si="110"/>
        <v/>
      </c>
      <c r="AA231" s="316" t="str">
        <f t="shared" ca="1" si="111"/>
        <v/>
      </c>
      <c r="AC231" s="310" t="e">
        <f t="shared" ca="1" si="112"/>
        <v>#N/A</v>
      </c>
      <c r="AD231" s="323" t="e">
        <f t="shared" ca="1" si="113"/>
        <v>#N/A</v>
      </c>
      <c r="AE231" s="324">
        <f t="shared" ca="1" si="92"/>
        <v>1161.5483657755656</v>
      </c>
      <c r="AG231" s="306">
        <f t="shared" ca="1" si="114"/>
        <v>-16.935967831401328</v>
      </c>
      <c r="AH231" s="304">
        <f t="shared" ca="1" si="115"/>
        <v>-7.5474943214937751</v>
      </c>
    </row>
    <row r="232" spans="1:34" x14ac:dyDescent="0.2">
      <c r="A232" s="347">
        <f t="shared" ca="1" si="93"/>
        <v>0.1</v>
      </c>
      <c r="B232" s="304">
        <f t="shared" ca="1" si="94"/>
        <v>7.9999999999999476</v>
      </c>
      <c r="D232" s="306">
        <f t="shared" ca="1" si="95"/>
        <v>-2.1307201893208685</v>
      </c>
      <c r="E232" s="307">
        <f t="shared" ca="1" si="96"/>
        <v>-16.76556108059923</v>
      </c>
      <c r="F232" s="304">
        <f t="shared" ca="1" si="97"/>
        <v>16.900414399430662</v>
      </c>
      <c r="G232" s="306">
        <f t="shared" ca="1" si="98"/>
        <v>27.15090310778664</v>
      </c>
      <c r="H232" s="307">
        <f t="shared" ca="1" si="99"/>
        <v>87.650893528842062</v>
      </c>
      <c r="I232" s="304">
        <f t="shared" ca="1" si="100"/>
        <v>91.75974431074242</v>
      </c>
      <c r="J232" s="306">
        <f t="shared" ca="1" si="101"/>
        <v>267.45357191573822</v>
      </c>
      <c r="K232" s="307">
        <f t="shared" ca="1" si="102"/>
        <v>1170.3972829338527</v>
      </c>
      <c r="L232" s="304">
        <f t="shared" ca="1" si="87"/>
        <v>1200.5670381238324</v>
      </c>
      <c r="M232" s="306">
        <f t="shared" ca="1" si="103"/>
        <v>1.2704079398933028</v>
      </c>
      <c r="N232" s="304">
        <f t="shared" ca="1" si="104"/>
        <v>72.789013215795819</v>
      </c>
      <c r="P232" s="310">
        <f t="shared" ca="1" si="105"/>
        <v>23</v>
      </c>
      <c r="Q232" s="304">
        <f t="shared" ca="1" si="106"/>
        <v>0</v>
      </c>
      <c r="R232" s="306">
        <f t="shared" ca="1" si="107"/>
        <v>0</v>
      </c>
      <c r="S232" s="307">
        <f t="shared" ca="1" si="108"/>
        <v>2.6792999999999987</v>
      </c>
      <c r="T232" s="304">
        <f t="shared" ca="1" si="88"/>
        <v>26.283932999999987</v>
      </c>
      <c r="U232" s="311">
        <f t="shared" ca="1" si="89"/>
        <v>0</v>
      </c>
      <c r="V232" s="306">
        <f t="shared" ca="1" si="90"/>
        <v>1.0895526909644015</v>
      </c>
      <c r="W232" s="304">
        <f t="shared" ca="1" si="91"/>
        <v>18.785618419269564</v>
      </c>
      <c r="Y232" s="314" t="str">
        <f t="shared" ca="1" si="109"/>
        <v/>
      </c>
      <c r="Z232" s="315" t="str">
        <f t="shared" ca="1" si="110"/>
        <v/>
      </c>
      <c r="AA232" s="316" t="str">
        <f t="shared" ca="1" si="111"/>
        <v/>
      </c>
      <c r="AC232" s="310">
        <f t="shared" ca="1" si="112"/>
        <v>7.9999999999999476</v>
      </c>
      <c r="AD232" s="323">
        <f t="shared" ca="1" si="113"/>
        <v>267.45357191573822</v>
      </c>
      <c r="AE232" s="324">
        <f t="shared" ca="1" si="92"/>
        <v>1170.3972829338527</v>
      </c>
      <c r="AG232" s="306">
        <f t="shared" ca="1" si="114"/>
        <v>-16.654367295591761</v>
      </c>
      <c r="AH232" s="304">
        <f t="shared" ca="1" si="115"/>
        <v>-7.2745995402582997</v>
      </c>
    </row>
    <row r="233" spans="1:34" x14ac:dyDescent="0.2">
      <c r="A233" s="347">
        <f t="shared" ca="1" si="93"/>
        <v>0.1</v>
      </c>
      <c r="B233" s="304">
        <f t="shared" ca="1" si="94"/>
        <v>8.0999999999999481</v>
      </c>
      <c r="D233" s="306">
        <f t="shared" ca="1" si="95"/>
        <v>-2.0746089045125853</v>
      </c>
      <c r="E233" s="307">
        <f t="shared" ca="1" si="96"/>
        <v>-16.507431885839178</v>
      </c>
      <c r="F233" s="304">
        <f t="shared" ca="1" si="97"/>
        <v>16.63728672507338</v>
      </c>
      <c r="G233" s="306">
        <f t="shared" ca="1" si="98"/>
        <v>26.943442217335381</v>
      </c>
      <c r="H233" s="307">
        <f t="shared" ca="1" si="99"/>
        <v>86.000150340258145</v>
      </c>
      <c r="I233" s="304">
        <f t="shared" ca="1" si="100"/>
        <v>90.122000294411436</v>
      </c>
      <c r="J233" s="306">
        <f t="shared" ca="1" si="101"/>
        <v>270.15828918199435</v>
      </c>
      <c r="K233" s="307">
        <f t="shared" ca="1" si="102"/>
        <v>1179.0798351273077</v>
      </c>
      <c r="L233" s="304">
        <f t="shared" ca="1" si="87"/>
        <v>1209.634142547895</v>
      </c>
      <c r="M233" s="306">
        <f t="shared" ca="1" si="103"/>
        <v>1.2671870860263335</v>
      </c>
      <c r="N233" s="304">
        <f t="shared" ca="1" si="104"/>
        <v>72.604471882790079</v>
      </c>
      <c r="P233" s="310">
        <f t="shared" ca="1" si="105"/>
        <v>23</v>
      </c>
      <c r="Q233" s="304">
        <f t="shared" ca="1" si="106"/>
        <v>0</v>
      </c>
      <c r="R233" s="306">
        <f t="shared" ca="1" si="107"/>
        <v>0</v>
      </c>
      <c r="S233" s="307">
        <f t="shared" ca="1" si="108"/>
        <v>2.6792999999999987</v>
      </c>
      <c r="T233" s="304">
        <f t="shared" ca="1" si="88"/>
        <v>26.283932999999987</v>
      </c>
      <c r="U233" s="311">
        <f t="shared" ca="1" si="89"/>
        <v>0</v>
      </c>
      <c r="V233" s="306">
        <f t="shared" ca="1" si="90"/>
        <v>1.0886038194978294</v>
      </c>
      <c r="W233" s="304">
        <f t="shared" ca="1" si="91"/>
        <v>18.105243420953986</v>
      </c>
      <c r="Y233" s="314" t="str">
        <f t="shared" ca="1" si="109"/>
        <v/>
      </c>
      <c r="Z233" s="315" t="str">
        <f t="shared" ca="1" si="110"/>
        <v/>
      </c>
      <c r="AA233" s="316" t="str">
        <f t="shared" ca="1" si="111"/>
        <v/>
      </c>
      <c r="AC233" s="310" t="e">
        <f t="shared" ca="1" si="112"/>
        <v>#N/A</v>
      </c>
      <c r="AD233" s="323" t="e">
        <f t="shared" ca="1" si="113"/>
        <v>#N/A</v>
      </c>
      <c r="AE233" s="324">
        <f t="shared" ca="1" si="92"/>
        <v>1179.0798351273077</v>
      </c>
      <c r="AG233" s="306">
        <f t="shared" ca="1" si="114"/>
        <v>-16.382114742197373</v>
      </c>
      <c r="AH233" s="304">
        <f t="shared" ca="1" si="115"/>
        <v>-7.0113904449929363</v>
      </c>
    </row>
    <row r="234" spans="1:34" x14ac:dyDescent="0.2">
      <c r="A234" s="347">
        <f t="shared" ca="1" si="93"/>
        <v>0.1</v>
      </c>
      <c r="B234" s="304">
        <f t="shared" ca="1" si="94"/>
        <v>8.1999999999999478</v>
      </c>
      <c r="D234" s="306">
        <f t="shared" ca="1" si="95"/>
        <v>-2.0202507690136198</v>
      </c>
      <c r="E234" s="307">
        <f t="shared" ca="1" si="96"/>
        <v>-16.258391725850387</v>
      </c>
      <c r="F234" s="304">
        <f t="shared" ca="1" si="97"/>
        <v>16.383428050347106</v>
      </c>
      <c r="G234" s="306">
        <f t="shared" ca="1" si="98"/>
        <v>26.74141714043402</v>
      </c>
      <c r="H234" s="307">
        <f t="shared" ca="1" si="99"/>
        <v>84.374311167673113</v>
      </c>
      <c r="I234" s="304">
        <f t="shared" ca="1" si="100"/>
        <v>88.510608266455975</v>
      </c>
      <c r="J234" s="306">
        <f t="shared" ca="1" si="101"/>
        <v>272.8425321498828</v>
      </c>
      <c r="K234" s="307">
        <f t="shared" ca="1" si="102"/>
        <v>1187.5985582027042</v>
      </c>
      <c r="L234" s="304">
        <f t="shared" ca="1" si="87"/>
        <v>1218.5373949104319</v>
      </c>
      <c r="M234" s="306">
        <f t="shared" ca="1" si="103"/>
        <v>1.2638735115717823</v>
      </c>
      <c r="N234" s="304">
        <f t="shared" ca="1" si="104"/>
        <v>72.414618051441934</v>
      </c>
      <c r="P234" s="310">
        <f t="shared" ca="1" si="105"/>
        <v>23</v>
      </c>
      <c r="Q234" s="304">
        <f t="shared" ca="1" si="106"/>
        <v>0</v>
      </c>
      <c r="R234" s="306">
        <f t="shared" ca="1" si="107"/>
        <v>0</v>
      </c>
      <c r="S234" s="307">
        <f t="shared" ca="1" si="108"/>
        <v>2.6792999999999987</v>
      </c>
      <c r="T234" s="304">
        <f t="shared" ca="1" si="88"/>
        <v>26.283932999999987</v>
      </c>
      <c r="U234" s="311">
        <f t="shared" ca="1" si="89"/>
        <v>0</v>
      </c>
      <c r="V234" s="306">
        <f t="shared" ca="1" si="90"/>
        <v>1.0876736078841658</v>
      </c>
      <c r="W234" s="304">
        <f t="shared" ca="1" si="91"/>
        <v>17.448661226761971</v>
      </c>
      <c r="Y234" s="314" t="str">
        <f t="shared" ca="1" si="109"/>
        <v/>
      </c>
      <c r="Z234" s="315" t="str">
        <f t="shared" ca="1" si="110"/>
        <v/>
      </c>
      <c r="AA234" s="316" t="str">
        <f t="shared" ca="1" si="111"/>
        <v/>
      </c>
      <c r="AC234" s="310" t="e">
        <f t="shared" ca="1" si="112"/>
        <v>#N/A</v>
      </c>
      <c r="AD234" s="323" t="e">
        <f t="shared" ca="1" si="113"/>
        <v>#N/A</v>
      </c>
      <c r="AE234" s="324">
        <f t="shared" ca="1" si="92"/>
        <v>1187.5985582027042</v>
      </c>
      <c r="AG234" s="306">
        <f t="shared" ca="1" si="114"/>
        <v>-16.118779408222579</v>
      </c>
      <c r="AH234" s="304">
        <f t="shared" ca="1" si="115"/>
        <v>-6.7574528499809636</v>
      </c>
    </row>
    <row r="235" spans="1:34" x14ac:dyDescent="0.2">
      <c r="A235" s="347">
        <f t="shared" ca="1" si="93"/>
        <v>0.1</v>
      </c>
      <c r="B235" s="304">
        <f t="shared" ca="1" si="94"/>
        <v>8.2999999999999474</v>
      </c>
      <c r="D235" s="306">
        <f t="shared" ca="1" si="95"/>
        <v>-1.9675684948580996</v>
      </c>
      <c r="E235" s="307">
        <f t="shared" ca="1" si="96"/>
        <v>-16.018056796580574</v>
      </c>
      <c r="F235" s="304">
        <f t="shared" ca="1" si="97"/>
        <v>16.138446930248254</v>
      </c>
      <c r="G235" s="306">
        <f t="shared" ca="1" si="98"/>
        <v>26.544660290948212</v>
      </c>
      <c r="H235" s="307">
        <f t="shared" ca="1" si="99"/>
        <v>82.772505488015057</v>
      </c>
      <c r="I235" s="304">
        <f t="shared" ca="1" si="100"/>
        <v>86.924718318354792</v>
      </c>
      <c r="J235" s="306">
        <f t="shared" ca="1" si="101"/>
        <v>275.50683602145193</v>
      </c>
      <c r="K235" s="307">
        <f t="shared" ca="1" si="102"/>
        <v>1195.9558990354885</v>
      </c>
      <c r="L235" s="304">
        <f t="shared" ca="1" si="87"/>
        <v>1227.2793199318298</v>
      </c>
      <c r="M235" s="306">
        <f t="shared" ca="1" si="103"/>
        <v>1.2604638156497043</v>
      </c>
      <c r="N235" s="304">
        <f t="shared" ca="1" si="104"/>
        <v>72.219256865683903</v>
      </c>
      <c r="P235" s="310">
        <f t="shared" ca="1" si="105"/>
        <v>23</v>
      </c>
      <c r="Q235" s="304">
        <f t="shared" ca="1" si="106"/>
        <v>0</v>
      </c>
      <c r="R235" s="306">
        <f t="shared" ca="1" si="107"/>
        <v>0</v>
      </c>
      <c r="S235" s="307">
        <f t="shared" ca="1" si="108"/>
        <v>2.6792999999999987</v>
      </c>
      <c r="T235" s="304">
        <f t="shared" ca="1" si="88"/>
        <v>26.283932999999987</v>
      </c>
      <c r="U235" s="311">
        <f t="shared" ca="1" si="89"/>
        <v>0</v>
      </c>
      <c r="V235" s="306">
        <f t="shared" ca="1" si="90"/>
        <v>1.0867617451841236</v>
      </c>
      <c r="W235" s="304">
        <f t="shared" ca="1" si="91"/>
        <v>16.814880916855564</v>
      </c>
      <c r="Y235" s="314" t="str">
        <f t="shared" ca="1" si="109"/>
        <v/>
      </c>
      <c r="Z235" s="315" t="str">
        <f t="shared" ca="1" si="110"/>
        <v/>
      </c>
      <c r="AA235" s="316" t="str">
        <f t="shared" ca="1" si="111"/>
        <v/>
      </c>
      <c r="AC235" s="310" t="e">
        <f t="shared" ca="1" si="112"/>
        <v>#N/A</v>
      </c>
      <c r="AD235" s="323" t="e">
        <f t="shared" ca="1" si="113"/>
        <v>#N/A</v>
      </c>
      <c r="AE235" s="324">
        <f t="shared" ca="1" si="92"/>
        <v>1195.9558990354885</v>
      </c>
      <c r="AG235" s="306">
        <f t="shared" ca="1" si="114"/>
        <v>-15.863952421414634</v>
      </c>
      <c r="AH235" s="304">
        <f t="shared" ca="1" si="115"/>
        <v>-6.5123954864188329</v>
      </c>
    </row>
    <row r="236" spans="1:34" x14ac:dyDescent="0.2">
      <c r="A236" s="347">
        <f t="shared" ca="1" si="93"/>
        <v>0.1</v>
      </c>
      <c r="B236" s="304">
        <f t="shared" ca="1" si="94"/>
        <v>8.3999999999999471</v>
      </c>
      <c r="D236" s="306">
        <f t="shared" ca="1" si="95"/>
        <v>-1.9164890033354367</v>
      </c>
      <c r="E236" s="307">
        <f t="shared" ca="1" si="96"/>
        <v>-15.786064293442738</v>
      </c>
      <c r="F236" s="304">
        <f t="shared" ca="1" si="97"/>
        <v>15.901973335929521</v>
      </c>
      <c r="G236" s="306">
        <f t="shared" ca="1" si="98"/>
        <v>26.353011390614668</v>
      </c>
      <c r="H236" s="307">
        <f t="shared" ca="1" si="99"/>
        <v>81.19389905867078</v>
      </c>
      <c r="I236" s="304">
        <f t="shared" ca="1" si="100"/>
        <v>85.363519454761743</v>
      </c>
      <c r="J236" s="306">
        <f t="shared" ca="1" si="101"/>
        <v>278.15171960553005</v>
      </c>
      <c r="K236" s="307">
        <f t="shared" ca="1" si="102"/>
        <v>1204.1542192628228</v>
      </c>
      <c r="L236" s="304">
        <f t="shared" ca="1" si="87"/>
        <v>1235.8623559636289</v>
      </c>
      <c r="M236" s="306">
        <f t="shared" ca="1" si="103"/>
        <v>1.2569544270070261</v>
      </c>
      <c r="N236" s="304">
        <f t="shared" ca="1" si="104"/>
        <v>72.018183707787301</v>
      </c>
      <c r="P236" s="310">
        <f t="shared" ca="1" si="105"/>
        <v>23</v>
      </c>
      <c r="Q236" s="304">
        <f t="shared" ca="1" si="106"/>
        <v>0</v>
      </c>
      <c r="R236" s="306">
        <f t="shared" ca="1" si="107"/>
        <v>0</v>
      </c>
      <c r="S236" s="307">
        <f t="shared" ca="1" si="108"/>
        <v>2.6792999999999987</v>
      </c>
      <c r="T236" s="304">
        <f t="shared" ca="1" si="88"/>
        <v>26.283932999999987</v>
      </c>
      <c r="U236" s="311">
        <f t="shared" ca="1" si="89"/>
        <v>0</v>
      </c>
      <c r="V236" s="306">
        <f t="shared" ca="1" si="90"/>
        <v>1.085867931505901</v>
      </c>
      <c r="W236" s="304">
        <f t="shared" ca="1" si="91"/>
        <v>16.20296528594919</v>
      </c>
      <c r="Y236" s="314" t="str">
        <f t="shared" ca="1" si="109"/>
        <v/>
      </c>
      <c r="Z236" s="315" t="str">
        <f t="shared" ca="1" si="110"/>
        <v/>
      </c>
      <c r="AA236" s="316" t="str">
        <f t="shared" ca="1" si="111"/>
        <v/>
      </c>
      <c r="AC236" s="310" t="e">
        <f t="shared" ca="1" si="112"/>
        <v>#N/A</v>
      </c>
      <c r="AD236" s="323" t="e">
        <f t="shared" ca="1" si="113"/>
        <v>#N/A</v>
      </c>
      <c r="AE236" s="324">
        <f t="shared" ca="1" si="92"/>
        <v>1204.1542192628228</v>
      </c>
      <c r="AG236" s="306">
        <f t="shared" ca="1" si="114"/>
        <v>-15.617245234390055</v>
      </c>
      <c r="AH236" s="304">
        <f t="shared" ca="1" si="115"/>
        <v>-6.2758485114976201</v>
      </c>
    </row>
    <row r="237" spans="1:34" x14ac:dyDescent="0.2">
      <c r="A237" s="347">
        <f t="shared" ca="1" si="93"/>
        <v>0.1</v>
      </c>
      <c r="B237" s="304">
        <f t="shared" ca="1" si="94"/>
        <v>8.4999999999999467</v>
      </c>
      <c r="D237" s="306">
        <f t="shared" ca="1" si="95"/>
        <v>-1.8669431558628418</v>
      </c>
      <c r="E237" s="307">
        <f t="shared" ca="1" si="96"/>
        <v>-15.562071059301747</v>
      </c>
      <c r="F237" s="304">
        <f t="shared" ca="1" si="97"/>
        <v>15.673657275887466</v>
      </c>
      <c r="G237" s="306">
        <f t="shared" ca="1" si="98"/>
        <v>26.166317075028385</v>
      </c>
      <c r="H237" s="307">
        <f t="shared" ca="1" si="99"/>
        <v>79.63769195274061</v>
      </c>
      <c r="I237" s="304">
        <f t="shared" ca="1" si="100"/>
        <v>83.826237711294951</v>
      </c>
      <c r="J237" s="306">
        <f t="shared" ca="1" si="101"/>
        <v>280.77768602881218</v>
      </c>
      <c r="K237" s="307">
        <f t="shared" ca="1" si="102"/>
        <v>1212.1957988133934</v>
      </c>
      <c r="L237" s="304">
        <f t="shared" ca="1" si="87"/>
        <v>1244.2888585985711</v>
      </c>
      <c r="M237" s="306">
        <f t="shared" ca="1" si="103"/>
        <v>1.2533415937755461</v>
      </c>
      <c r="N237" s="304">
        <f t="shared" ca="1" si="104"/>
        <v>71.81118361153888</v>
      </c>
      <c r="P237" s="310">
        <f t="shared" ca="1" si="105"/>
        <v>23</v>
      </c>
      <c r="Q237" s="304">
        <f t="shared" ca="1" si="106"/>
        <v>0</v>
      </c>
      <c r="R237" s="306">
        <f t="shared" ca="1" si="107"/>
        <v>0</v>
      </c>
      <c r="S237" s="307">
        <f t="shared" ca="1" si="108"/>
        <v>2.6792999999999987</v>
      </c>
      <c r="T237" s="304">
        <f t="shared" ca="1" si="88"/>
        <v>26.283932999999987</v>
      </c>
      <c r="U237" s="311">
        <f t="shared" ca="1" si="89"/>
        <v>0</v>
      </c>
      <c r="V237" s="306">
        <f t="shared" ca="1" si="90"/>
        <v>1.0849918775377818</v>
      </c>
      <c r="W237" s="304">
        <f t="shared" ca="1" si="91"/>
        <v>15.612027427779292</v>
      </c>
      <c r="Y237" s="314" t="str">
        <f t="shared" ca="1" si="109"/>
        <v/>
      </c>
      <c r="Z237" s="315" t="str">
        <f t="shared" ca="1" si="110"/>
        <v/>
      </c>
      <c r="AA237" s="316" t="str">
        <f t="shared" ca="1" si="111"/>
        <v/>
      </c>
      <c r="AC237" s="310" t="e">
        <f t="shared" ca="1" si="112"/>
        <v>#N/A</v>
      </c>
      <c r="AD237" s="323" t="e">
        <f t="shared" ca="1" si="113"/>
        <v>#N/A</v>
      </c>
      <c r="AE237" s="324">
        <f t="shared" ca="1" si="92"/>
        <v>1212.1957988133934</v>
      </c>
      <c r="AG237" s="306">
        <f t="shared" ca="1" si="114"/>
        <v>-15.378288165362937</v>
      </c>
      <c r="AH237" s="304">
        <f t="shared" ca="1" si="115"/>
        <v>-6.0474621303882348</v>
      </c>
    </row>
    <row r="238" spans="1:34" x14ac:dyDescent="0.2">
      <c r="A238" s="347">
        <f t="shared" ca="1" si="93"/>
        <v>0.1</v>
      </c>
      <c r="B238" s="304">
        <f t="shared" ca="1" si="94"/>
        <v>8.5999999999999464</v>
      </c>
      <c r="D238" s="306">
        <f t="shared" ca="1" si="95"/>
        <v>-1.8188655052434231</v>
      </c>
      <c r="E238" s="307">
        <f t="shared" ca="1" si="96"/>
        <v>-15.345752333609008</v>
      </c>
      <c r="F238" s="304">
        <f t="shared" ca="1" si="97"/>
        <v>15.453167520305691</v>
      </c>
      <c r="G238" s="306">
        <f t="shared" ca="1" si="98"/>
        <v>25.984430524504042</v>
      </c>
      <c r="H238" s="307">
        <f t="shared" ca="1" si="99"/>
        <v>78.103116719379713</v>
      </c>
      <c r="I238" s="304">
        <f t="shared" ca="1" si="100"/>
        <v>82.31213440899117</v>
      </c>
      <c r="J238" s="306">
        <f t="shared" ca="1" si="101"/>
        <v>283.38522340878882</v>
      </c>
      <c r="K238" s="307">
        <f t="shared" ca="1" si="102"/>
        <v>1220.0828392469994</v>
      </c>
      <c r="L238" s="304">
        <f t="shared" ca="1" si="87"/>
        <v>1252.5611040869298</v>
      </c>
      <c r="M238" s="306">
        <f t="shared" ca="1" si="103"/>
        <v>1.2496213725102825</v>
      </c>
      <c r="N238" s="304">
        <f t="shared" ca="1" si="104"/>
        <v>71.598030634184454</v>
      </c>
      <c r="P238" s="310">
        <f t="shared" ca="1" si="105"/>
        <v>23</v>
      </c>
      <c r="Q238" s="304">
        <f t="shared" ca="1" si="106"/>
        <v>0</v>
      </c>
      <c r="R238" s="306">
        <f t="shared" ca="1" si="107"/>
        <v>0</v>
      </c>
      <c r="S238" s="307">
        <f t="shared" ca="1" si="108"/>
        <v>2.6792999999999987</v>
      </c>
      <c r="T238" s="304">
        <f t="shared" ca="1" si="88"/>
        <v>26.283932999999987</v>
      </c>
      <c r="U238" s="311">
        <f t="shared" ca="1" si="89"/>
        <v>0</v>
      </c>
      <c r="V238" s="306">
        <f t="shared" ca="1" si="90"/>
        <v>1.0841333041063086</v>
      </c>
      <c r="W238" s="304">
        <f t="shared" ca="1" si="91"/>
        <v>15.041227572718794</v>
      </c>
      <c r="Y238" s="314" t="str">
        <f t="shared" ca="1" si="109"/>
        <v/>
      </c>
      <c r="Z238" s="315" t="str">
        <f t="shared" ca="1" si="110"/>
        <v/>
      </c>
      <c r="AA238" s="316" t="str">
        <f t="shared" ca="1" si="111"/>
        <v/>
      </c>
      <c r="AC238" s="310" t="e">
        <f t="shared" ca="1" si="112"/>
        <v>#N/A</v>
      </c>
      <c r="AD238" s="323" t="e">
        <f t="shared" ca="1" si="113"/>
        <v>#N/A</v>
      </c>
      <c r="AE238" s="324">
        <f t="shared" ca="1" si="92"/>
        <v>1220.0828392469994</v>
      </c>
      <c r="AG238" s="306">
        <f t="shared" ca="1" si="114"/>
        <v>-15.14672903520939</v>
      </c>
      <c r="AH238" s="304">
        <f t="shared" ca="1" si="115"/>
        <v>-5.8269053214568354</v>
      </c>
    </row>
    <row r="239" spans="1:34" x14ac:dyDescent="0.2">
      <c r="A239" s="347">
        <f t="shared" ca="1" si="93"/>
        <v>0.1</v>
      </c>
      <c r="B239" s="304">
        <f t="shared" ca="1" si="94"/>
        <v>8.699999999999946</v>
      </c>
      <c r="D239" s="306">
        <f t="shared" ca="1" si="95"/>
        <v>-1.772194065603983</v>
      </c>
      <c r="E239" s="307">
        <f t="shared" ca="1" si="96"/>
        <v>-15.136800594099295</v>
      </c>
      <c r="F239" s="304">
        <f t="shared" ca="1" si="97"/>
        <v>15.240190419797475</v>
      </c>
      <c r="G239" s="306">
        <f t="shared" ca="1" si="98"/>
        <v>25.807211117943645</v>
      </c>
      <c r="H239" s="307">
        <f t="shared" ca="1" si="99"/>
        <v>76.589436659969778</v>
      </c>
      <c r="I239" s="304">
        <f t="shared" ca="1" si="100"/>
        <v>80.820504536767373</v>
      </c>
      <c r="J239" s="306">
        <f t="shared" ca="1" si="101"/>
        <v>285.97480549091119</v>
      </c>
      <c r="K239" s="307">
        <f t="shared" ca="1" si="102"/>
        <v>1227.8174669159669</v>
      </c>
      <c r="L239" s="304">
        <f t="shared" ca="1" si="87"/>
        <v>1260.6812925714041</v>
      </c>
      <c r="M239" s="306">
        <f t="shared" ca="1" si="103"/>
        <v>1.2457896164520661</v>
      </c>
      <c r="N239" s="304">
        <f t="shared" ca="1" si="104"/>
        <v>71.378487183924975</v>
      </c>
      <c r="P239" s="310">
        <f t="shared" ca="1" si="105"/>
        <v>23</v>
      </c>
      <c r="Q239" s="304">
        <f t="shared" ca="1" si="106"/>
        <v>0</v>
      </c>
      <c r="R239" s="306">
        <f t="shared" ca="1" si="107"/>
        <v>0</v>
      </c>
      <c r="S239" s="307">
        <f t="shared" ca="1" si="108"/>
        <v>2.6792999999999987</v>
      </c>
      <c r="T239" s="304">
        <f t="shared" ca="1" si="88"/>
        <v>26.283932999999987</v>
      </c>
      <c r="U239" s="311">
        <f t="shared" ca="1" si="89"/>
        <v>0</v>
      </c>
      <c r="V239" s="306">
        <f t="shared" ca="1" si="90"/>
        <v>1.0832919417583842</v>
      </c>
      <c r="W239" s="304">
        <f t="shared" ca="1" si="91"/>
        <v>14.489770157313696</v>
      </c>
      <c r="Y239" s="314" t="str">
        <f t="shared" ca="1" si="109"/>
        <v/>
      </c>
      <c r="Z239" s="315" t="str">
        <f t="shared" ca="1" si="110"/>
        <v/>
      </c>
      <c r="AA239" s="316" t="str">
        <f t="shared" ca="1" si="111"/>
        <v/>
      </c>
      <c r="AC239" s="310" t="e">
        <f t="shared" ca="1" si="112"/>
        <v>#N/A</v>
      </c>
      <c r="AD239" s="323" t="e">
        <f t="shared" ca="1" si="113"/>
        <v>#N/A</v>
      </c>
      <c r="AE239" s="324">
        <f t="shared" ca="1" si="92"/>
        <v>1227.8174669159669</v>
      </c>
      <c r="AG239" s="306">
        <f t="shared" ca="1" si="114"/>
        <v>-14.922231891466662</v>
      </c>
      <c r="AH239" s="304">
        <f t="shared" ca="1" si="115"/>
        <v>-5.6138646559619314</v>
      </c>
    </row>
    <row r="240" spans="1:34" x14ac:dyDescent="0.2">
      <c r="A240" s="347">
        <f t="shared" ca="1" si="93"/>
        <v>0.1</v>
      </c>
      <c r="B240" s="304">
        <f t="shared" ca="1" si="94"/>
        <v>8.7999999999999456</v>
      </c>
      <c r="D240" s="306">
        <f t="shared" ca="1" si="95"/>
        <v>-1.726870099470279</v>
      </c>
      <c r="E240" s="307">
        <f t="shared" ca="1" si="96"/>
        <v>-14.934924483274166</v>
      </c>
      <c r="F240" s="304">
        <f t="shared" ca="1" si="97"/>
        <v>15.0344288106182</v>
      </c>
      <c r="G240" s="306">
        <f t="shared" ca="1" si="98"/>
        <v>25.634524107996619</v>
      </c>
      <c r="H240" s="307">
        <f t="shared" ca="1" si="99"/>
        <v>75.095944211642362</v>
      </c>
      <c r="I240" s="304">
        <f t="shared" ca="1" si="100"/>
        <v>79.350675254099514</v>
      </c>
      <c r="J240" s="306">
        <f t="shared" ca="1" si="101"/>
        <v>288.54689225220818</v>
      </c>
      <c r="K240" s="307">
        <f t="shared" ca="1" si="102"/>
        <v>1235.4017359595475</v>
      </c>
      <c r="L240" s="304">
        <f t="shared" ca="1" si="87"/>
        <v>1268.6515511519588</v>
      </c>
      <c r="M240" s="306">
        <f t="shared" ca="1" si="103"/>
        <v>1.2418419629536634</v>
      </c>
      <c r="N240" s="304">
        <f t="shared" ca="1" si="104"/>
        <v>71.152303299486448</v>
      </c>
      <c r="P240" s="310">
        <f t="shared" ca="1" si="105"/>
        <v>23</v>
      </c>
      <c r="Q240" s="304">
        <f t="shared" ca="1" si="106"/>
        <v>0</v>
      </c>
      <c r="R240" s="306">
        <f t="shared" ca="1" si="107"/>
        <v>0</v>
      </c>
      <c r="S240" s="307">
        <f t="shared" ca="1" si="108"/>
        <v>2.6792999999999987</v>
      </c>
      <c r="T240" s="304">
        <f t="shared" ca="1" si="88"/>
        <v>26.283932999999987</v>
      </c>
      <c r="U240" s="311">
        <f t="shared" ca="1" si="89"/>
        <v>0</v>
      </c>
      <c r="V240" s="306">
        <f t="shared" ca="1" si="90"/>
        <v>1.0824675303657905</v>
      </c>
      <c r="W240" s="304">
        <f t="shared" ca="1" si="91"/>
        <v>13.956901106506024</v>
      </c>
      <c r="Y240" s="314" t="str">
        <f t="shared" ca="1" si="109"/>
        <v/>
      </c>
      <c r="Z240" s="315" t="str">
        <f t="shared" ca="1" si="110"/>
        <v/>
      </c>
      <c r="AA240" s="316" t="str">
        <f t="shared" ca="1" si="111"/>
        <v/>
      </c>
      <c r="AC240" s="310" t="e">
        <f t="shared" ca="1" si="112"/>
        <v>#N/A</v>
      </c>
      <c r="AD240" s="323" t="e">
        <f t="shared" ca="1" si="113"/>
        <v>#N/A</v>
      </c>
      <c r="AE240" s="324">
        <f t="shared" ca="1" si="92"/>
        <v>1235.4017359595475</v>
      </c>
      <c r="AG240" s="306">
        <f t="shared" ca="1" si="114"/>
        <v>-14.704475810625599</v>
      </c>
      <c r="AH240" s="304">
        <f t="shared" ca="1" si="115"/>
        <v>-5.40804320431221</v>
      </c>
    </row>
    <row r="241" spans="1:34" x14ac:dyDescent="0.2">
      <c r="A241" s="347">
        <f t="shared" ca="1" si="93"/>
        <v>0.1</v>
      </c>
      <c r="B241" s="304">
        <f t="shared" ca="1" si="94"/>
        <v>8.8999999999999453</v>
      </c>
      <c r="D241" s="306">
        <f t="shared" ca="1" si="95"/>
        <v>-1.6828379205842434</v>
      </c>
      <c r="E241" s="307">
        <f t="shared" ca="1" si="96"/>
        <v>-14.739847812622685</v>
      </c>
      <c r="F241" s="304">
        <f t="shared" ca="1" si="97"/>
        <v>14.835600999158546</v>
      </c>
      <c r="G241" s="306">
        <f t="shared" ca="1" si="98"/>
        <v>25.466240315938194</v>
      </c>
      <c r="H241" s="307">
        <f t="shared" ca="1" si="99"/>
        <v>73.621959430380087</v>
      </c>
      <c r="I241" s="304">
        <f t="shared" ca="1" si="100"/>
        <v>77.902004506929387</v>
      </c>
      <c r="J241" s="306">
        <f t="shared" ca="1" si="101"/>
        <v>291.10193047340493</v>
      </c>
      <c r="K241" s="307">
        <f t="shared" ca="1" si="102"/>
        <v>1242.8376311416487</v>
      </c>
      <c r="L241" s="304">
        <f t="shared" ca="1" si="87"/>
        <v>1276.4739367911623</v>
      </c>
      <c r="M241" s="306">
        <f t="shared" ca="1" si="103"/>
        <v>1.2377738200036885</v>
      </c>
      <c r="N241" s="304">
        <f t="shared" ca="1" si="104"/>
        <v>70.91921587799699</v>
      </c>
      <c r="P241" s="310">
        <f t="shared" ca="1" si="105"/>
        <v>23</v>
      </c>
      <c r="Q241" s="304">
        <f t="shared" ca="1" si="106"/>
        <v>0</v>
      </c>
      <c r="R241" s="306">
        <f t="shared" ca="1" si="107"/>
        <v>0</v>
      </c>
      <c r="S241" s="307">
        <f t="shared" ca="1" si="108"/>
        <v>2.6792999999999987</v>
      </c>
      <c r="T241" s="304">
        <f t="shared" ca="1" si="88"/>
        <v>26.283932999999987</v>
      </c>
      <c r="U241" s="311">
        <f t="shared" ca="1" si="89"/>
        <v>0</v>
      </c>
      <c r="V241" s="306">
        <f t="shared" ca="1" si="90"/>
        <v>1.0816598187507118</v>
      </c>
      <c r="W241" s="304">
        <f t="shared" ca="1" si="91"/>
        <v>13.441905311088414</v>
      </c>
      <c r="Y241" s="314" t="str">
        <f t="shared" ca="1" si="109"/>
        <v/>
      </c>
      <c r="Z241" s="315" t="str">
        <f t="shared" ca="1" si="110"/>
        <v/>
      </c>
      <c r="AA241" s="316" t="str">
        <f t="shared" ca="1" si="111"/>
        <v/>
      </c>
      <c r="AC241" s="310" t="e">
        <f t="shared" ca="1" si="112"/>
        <v>#N/A</v>
      </c>
      <c r="AD241" s="323" t="e">
        <f t="shared" ca="1" si="113"/>
        <v>#N/A</v>
      </c>
      <c r="AE241" s="324">
        <f t="shared" ca="1" si="92"/>
        <v>1242.8376311416487</v>
      </c>
      <c r="AG241" s="306">
        <f t="shared" ca="1" si="114"/>
        <v>-14.493153770742039</v>
      </c>
      <c r="AH241" s="304">
        <f t="shared" ca="1" si="115"/>
        <v>-5.209159521705681</v>
      </c>
    </row>
    <row r="242" spans="1:34" x14ac:dyDescent="0.2">
      <c r="A242" s="347">
        <f t="shared" ca="1" si="93"/>
        <v>0.1</v>
      </c>
      <c r="B242" s="304">
        <f t="shared" ca="1" si="94"/>
        <v>8.9999999999999449</v>
      </c>
      <c r="D242" s="306">
        <f t="shared" ca="1" si="95"/>
        <v>-1.6400447111995571</v>
      </c>
      <c r="E242" s="307">
        <f t="shared" ca="1" si="96"/>
        <v>-14.551308638180695</v>
      </c>
      <c r="F242" s="304">
        <f t="shared" ca="1" si="97"/>
        <v>14.643439819192952</v>
      </c>
      <c r="G242" s="306">
        <f t="shared" ca="1" si="98"/>
        <v>25.302235844818238</v>
      </c>
      <c r="H242" s="307">
        <f t="shared" ca="1" si="99"/>
        <v>72.166828566562017</v>
      </c>
      <c r="I242" s="304">
        <f t="shared" ca="1" si="100"/>
        <v>76.473879750555071</v>
      </c>
      <c r="J242" s="306">
        <f t="shared" ca="1" si="101"/>
        <v>293.64035428144274</v>
      </c>
      <c r="K242" s="307">
        <f t="shared" ca="1" si="102"/>
        <v>1250.1270705414959</v>
      </c>
      <c r="L242" s="304">
        <f t="shared" ca="1" si="87"/>
        <v>1284.150439069813</v>
      </c>
      <c r="M242" s="306">
        <f t="shared" ca="1" si="103"/>
        <v>1.2335803517771726</v>
      </c>
      <c r="N242" s="304">
        <f t="shared" ca="1" si="104"/>
        <v>70.678947847095415</v>
      </c>
      <c r="P242" s="310">
        <f t="shared" ca="1" si="105"/>
        <v>23</v>
      </c>
      <c r="Q242" s="304">
        <f t="shared" ca="1" si="106"/>
        <v>0</v>
      </c>
      <c r="R242" s="306">
        <f t="shared" ca="1" si="107"/>
        <v>0</v>
      </c>
      <c r="S242" s="307">
        <f t="shared" ca="1" si="108"/>
        <v>2.6792999999999987</v>
      </c>
      <c r="T242" s="304">
        <f t="shared" ca="1" si="88"/>
        <v>26.283932999999987</v>
      </c>
      <c r="U242" s="311">
        <f t="shared" ca="1" si="89"/>
        <v>0</v>
      </c>
      <c r="V242" s="306">
        <f t="shared" ca="1" si="90"/>
        <v>1.0808685643309606</v>
      </c>
      <c r="W242" s="304">
        <f t="shared" ca="1" si="91"/>
        <v>12.944104284535937</v>
      </c>
      <c r="Y242" s="314" t="str">
        <f t="shared" ca="1" si="109"/>
        <v/>
      </c>
      <c r="Z242" s="315" t="str">
        <f t="shared" ca="1" si="110"/>
        <v/>
      </c>
      <c r="AA242" s="316" t="str">
        <f t="shared" ca="1" si="111"/>
        <v/>
      </c>
      <c r="AC242" s="310">
        <f t="shared" ca="1" si="112"/>
        <v>8.9999999999999449</v>
      </c>
      <c r="AD242" s="323">
        <f t="shared" ca="1" si="113"/>
        <v>293.64035428144274</v>
      </c>
      <c r="AE242" s="324">
        <f t="shared" ca="1" si="92"/>
        <v>1250.1270705414959</v>
      </c>
      <c r="AG242" s="306">
        <f t="shared" ca="1" si="114"/>
        <v>-14.287971586974539</v>
      </c>
      <c r="AH242" s="304">
        <f t="shared" ca="1" si="115"/>
        <v>-5.0169467066354718</v>
      </c>
    </row>
    <row r="243" spans="1:34" x14ac:dyDescent="0.2">
      <c r="A243" s="347">
        <f t="shared" ca="1" si="93"/>
        <v>0.1</v>
      </c>
      <c r="B243" s="304">
        <f t="shared" ca="1" si="94"/>
        <v>9.0999999999999446</v>
      </c>
      <c r="D243" s="306">
        <f t="shared" ca="1" si="95"/>
        <v>-1.5984403527106985</v>
      </c>
      <c r="E243" s="307">
        <f t="shared" ca="1" si="96"/>
        <v>-14.36905840161441</v>
      </c>
      <c r="F243" s="304">
        <f t="shared" ca="1" si="97"/>
        <v>14.457691755953975</v>
      </c>
      <c r="G243" s="306">
        <f t="shared" ca="1" si="98"/>
        <v>25.142391809547167</v>
      </c>
      <c r="H243" s="307">
        <f t="shared" ca="1" si="99"/>
        <v>70.729922726400574</v>
      </c>
      <c r="I243" s="304">
        <f t="shared" ca="1" si="100"/>
        <v>75.065716773953341</v>
      </c>
      <c r="J243" s="306">
        <f t="shared" ca="1" si="101"/>
        <v>296.16258566416099</v>
      </c>
      <c r="K243" s="307">
        <f t="shared" ca="1" si="102"/>
        <v>1257.2719081061441</v>
      </c>
      <c r="L243" s="304">
        <f t="shared" ca="1" si="87"/>
        <v>1291.6829828019513</v>
      </c>
      <c r="M243" s="306">
        <f t="shared" ca="1" si="103"/>
        <v>1.2292564631358354</v>
      </c>
      <c r="N243" s="304">
        <f t="shared" ca="1" si="104"/>
        <v>70.431207276862239</v>
      </c>
      <c r="P243" s="310">
        <f t="shared" ca="1" si="105"/>
        <v>23</v>
      </c>
      <c r="Q243" s="304">
        <f t="shared" ca="1" si="106"/>
        <v>0</v>
      </c>
      <c r="R243" s="306">
        <f t="shared" ca="1" si="107"/>
        <v>0</v>
      </c>
      <c r="S243" s="307">
        <f t="shared" ca="1" si="108"/>
        <v>2.6792999999999987</v>
      </c>
      <c r="T243" s="304">
        <f t="shared" ca="1" si="88"/>
        <v>26.283932999999987</v>
      </c>
      <c r="U243" s="311">
        <f t="shared" ca="1" si="89"/>
        <v>0</v>
      </c>
      <c r="V243" s="306">
        <f t="shared" ca="1" si="90"/>
        <v>1.0800935327836956</v>
      </c>
      <c r="W243" s="304">
        <f t="shared" ca="1" si="91"/>
        <v>12.462853984798823</v>
      </c>
      <c r="Y243" s="314" t="str">
        <f t="shared" ca="1" si="109"/>
        <v/>
      </c>
      <c r="Z243" s="315" t="str">
        <f t="shared" ca="1" si="110"/>
        <v/>
      </c>
      <c r="AA243" s="316" t="str">
        <f t="shared" ca="1" si="111"/>
        <v/>
      </c>
      <c r="AC243" s="310" t="e">
        <f t="shared" ca="1" si="112"/>
        <v>#N/A</v>
      </c>
      <c r="AD243" s="323" t="e">
        <f t="shared" ca="1" si="113"/>
        <v>#N/A</v>
      </c>
      <c r="AE243" s="324">
        <f t="shared" ca="1" si="92"/>
        <v>1257.2719081061441</v>
      </c>
      <c r="AG243" s="306">
        <f t="shared" ca="1" si="114"/>
        <v>-14.088646903161274</v>
      </c>
      <c r="AH243" s="304">
        <f t="shared" ca="1" si="115"/>
        <v>-4.8311515263449198</v>
      </c>
    </row>
    <row r="244" spans="1:34" x14ac:dyDescent="0.2">
      <c r="A244" s="347">
        <f t="shared" ca="1" si="93"/>
        <v>0.1</v>
      </c>
      <c r="B244" s="304">
        <f t="shared" ca="1" si="94"/>
        <v>9.1999999999999442</v>
      </c>
      <c r="D244" s="306">
        <f t="shared" ca="1" si="95"/>
        <v>-1.5579772685776152</v>
      </c>
      <c r="E244" s="307">
        <f t="shared" ca="1" si="96"/>
        <v>-14.192861131538786</v>
      </c>
      <c r="F244" s="304">
        <f t="shared" ca="1" si="97"/>
        <v>14.278116131638271</v>
      </c>
      <c r="G244" s="306">
        <f t="shared" ca="1" si="98"/>
        <v>24.986594082689404</v>
      </c>
      <c r="H244" s="307">
        <f t="shared" ca="1" si="99"/>
        <v>69.3106366132467</v>
      </c>
      <c r="I244" s="304">
        <f t="shared" ca="1" si="100"/>
        <v>73.676958620634053</v>
      </c>
      <c r="J244" s="306">
        <f t="shared" ca="1" si="101"/>
        <v>298.66903495877284</v>
      </c>
      <c r="K244" s="307">
        <f t="shared" ca="1" si="102"/>
        <v>1264.2739360731264</v>
      </c>
      <c r="L244" s="304">
        <f t="shared" ca="1" si="87"/>
        <v>1299.0734305177057</v>
      </c>
      <c r="M244" s="306">
        <f t="shared" ca="1" si="103"/>
        <v>1.2247967829948478</v>
      </c>
      <c r="N244" s="304">
        <f t="shared" ca="1" si="104"/>
        <v>70.175686426805342</v>
      </c>
      <c r="P244" s="310">
        <f t="shared" ca="1" si="105"/>
        <v>23</v>
      </c>
      <c r="Q244" s="304">
        <f t="shared" ca="1" si="106"/>
        <v>0</v>
      </c>
      <c r="R244" s="306">
        <f t="shared" ca="1" si="107"/>
        <v>0</v>
      </c>
      <c r="S244" s="307">
        <f t="shared" ca="1" si="108"/>
        <v>2.6792999999999987</v>
      </c>
      <c r="T244" s="304">
        <f t="shared" ca="1" si="88"/>
        <v>26.283932999999987</v>
      </c>
      <c r="U244" s="311">
        <f t="shared" ca="1" si="89"/>
        <v>0</v>
      </c>
      <c r="V244" s="306">
        <f t="shared" ca="1" si="90"/>
        <v>1.0793344977265109</v>
      </c>
      <c r="W244" s="304">
        <f t="shared" ca="1" si="91"/>
        <v>11.997542787934401</v>
      </c>
      <c r="Y244" s="314" t="str">
        <f t="shared" ca="1" si="109"/>
        <v/>
      </c>
      <c r="Z244" s="315" t="str">
        <f t="shared" ca="1" si="110"/>
        <v/>
      </c>
      <c r="AA244" s="316" t="str">
        <f t="shared" ca="1" si="111"/>
        <v/>
      </c>
      <c r="AC244" s="310" t="e">
        <f t="shared" ca="1" si="112"/>
        <v>#N/A</v>
      </c>
      <c r="AD244" s="323" t="e">
        <f t="shared" ca="1" si="113"/>
        <v>#N/A</v>
      </c>
      <c r="AE244" s="324">
        <f t="shared" ca="1" si="92"/>
        <v>1264.2739360731264</v>
      </c>
      <c r="AG244" s="306">
        <f t="shared" ca="1" si="114"/>
        <v>-13.894908232983592</v>
      </c>
      <c r="AH244" s="304">
        <f t="shared" ca="1" si="115"/>
        <v>-4.6515336038513153</v>
      </c>
    </row>
    <row r="245" spans="1:34" x14ac:dyDescent="0.2">
      <c r="A245" s="347">
        <f t="shared" ca="1" si="93"/>
        <v>0.1</v>
      </c>
      <c r="B245" s="304">
        <f t="shared" ca="1" si="94"/>
        <v>9.2999999999999439</v>
      </c>
      <c r="D245" s="306">
        <f t="shared" ca="1" si="95"/>
        <v>-1.5186102786048621</v>
      </c>
      <c r="E245" s="307">
        <f t="shared" ca="1" si="96"/>
        <v>-14.022492700253361</v>
      </c>
      <c r="F245" s="304">
        <f t="shared" ca="1" si="97"/>
        <v>14.104484347431605</v>
      </c>
      <c r="G245" s="306">
        <f t="shared" ca="1" si="98"/>
        <v>24.834733054828916</v>
      </c>
      <c r="H245" s="307">
        <f t="shared" ca="1" si="99"/>
        <v>67.908387343221364</v>
      </c>
      <c r="I245" s="304">
        <f t="shared" ca="1" si="100"/>
        <v>72.307074601740041</v>
      </c>
      <c r="J245" s="306">
        <f t="shared" ca="1" si="101"/>
        <v>301.16010131564877</v>
      </c>
      <c r="K245" s="307">
        <f t="shared" ca="1" si="102"/>
        <v>1271.1348872709498</v>
      </c>
      <c r="L245" s="304">
        <f t="shared" ca="1" si="87"/>
        <v>1306.3235848218396</v>
      </c>
      <c r="M245" s="306">
        <f t="shared" ca="1" si="103"/>
        <v>1.2201956464661718</v>
      </c>
      <c r="N245" s="304">
        <f t="shared" ca="1" si="104"/>
        <v>69.912060722748734</v>
      </c>
      <c r="P245" s="310">
        <f t="shared" ca="1" si="105"/>
        <v>23</v>
      </c>
      <c r="Q245" s="304">
        <f t="shared" ca="1" si="106"/>
        <v>0</v>
      </c>
      <c r="R245" s="306">
        <f t="shared" ca="1" si="107"/>
        <v>0</v>
      </c>
      <c r="S245" s="307">
        <f t="shared" ca="1" si="108"/>
        <v>2.6792999999999987</v>
      </c>
      <c r="T245" s="304">
        <f t="shared" ca="1" si="88"/>
        <v>26.283932999999987</v>
      </c>
      <c r="U245" s="311">
        <f t="shared" ca="1" si="89"/>
        <v>0</v>
      </c>
      <c r="V245" s="306">
        <f t="shared" ca="1" si="90"/>
        <v>1.0785912404148466</v>
      </c>
      <c r="W245" s="304">
        <f t="shared" ca="1" si="91"/>
        <v>11.547589601622912</v>
      </c>
      <c r="Y245" s="314" t="str">
        <f t="shared" ca="1" si="109"/>
        <v/>
      </c>
      <c r="Z245" s="315" t="str">
        <f t="shared" ca="1" si="110"/>
        <v/>
      </c>
      <c r="AA245" s="316" t="str">
        <f t="shared" ca="1" si="111"/>
        <v/>
      </c>
      <c r="AC245" s="310" t="e">
        <f t="shared" ca="1" si="112"/>
        <v>#N/A</v>
      </c>
      <c r="AD245" s="323" t="e">
        <f t="shared" ca="1" si="113"/>
        <v>#N/A</v>
      </c>
      <c r="AE245" s="324">
        <f t="shared" ca="1" si="92"/>
        <v>1271.1348872709498</v>
      </c>
      <c r="AG245" s="306">
        <f t="shared" ca="1" si="114"/>
        <v>-13.706494044633978</v>
      </c>
      <c r="AH245" s="304">
        <f t="shared" ca="1" si="115"/>
        <v>-4.4778646616408793</v>
      </c>
    </row>
    <row r="246" spans="1:34" x14ac:dyDescent="0.2">
      <c r="A246" s="347">
        <f t="shared" ca="1" si="93"/>
        <v>0.1</v>
      </c>
      <c r="B246" s="304">
        <f t="shared" ca="1" si="94"/>
        <v>9.3999999999999435</v>
      </c>
      <c r="D246" s="306">
        <f t="shared" ca="1" si="95"/>
        <v>-1.4802964637215059</v>
      </c>
      <c r="E246" s="307">
        <f t="shared" ca="1" si="96"/>
        <v>-13.857740131503233</v>
      </c>
      <c r="F246" s="304">
        <f t="shared" ca="1" si="97"/>
        <v>13.936579177573728</v>
      </c>
      <c r="G246" s="306">
        <f t="shared" ca="1" si="98"/>
        <v>24.686703408456765</v>
      </c>
      <c r="H246" s="307">
        <f t="shared" ca="1" si="99"/>
        <v>66.522613330071039</v>
      </c>
      <c r="I246" s="304">
        <f t="shared" ca="1" si="100"/>
        <v>70.955559397691005</v>
      </c>
      <c r="J246" s="306">
        <f t="shared" ca="1" si="101"/>
        <v>303.63617313881304</v>
      </c>
      <c r="K246" s="307">
        <f t="shared" ca="1" si="102"/>
        <v>1277.8564373046145</v>
      </c>
      <c r="L246" s="304">
        <f t="shared" ca="1" si="87"/>
        <v>1313.4351906353147</v>
      </c>
      <c r="M246" s="306">
        <f t="shared" ca="1" si="103"/>
        <v>1.215447075681382</v>
      </c>
      <c r="N246" s="304">
        <f t="shared" ca="1" si="104"/>
        <v>69.639987658061145</v>
      </c>
      <c r="P246" s="310">
        <f t="shared" ca="1" si="105"/>
        <v>23</v>
      </c>
      <c r="Q246" s="304">
        <f t="shared" ca="1" si="106"/>
        <v>0</v>
      </c>
      <c r="R246" s="306">
        <f t="shared" ca="1" si="107"/>
        <v>0</v>
      </c>
      <c r="S246" s="307">
        <f t="shared" ca="1" si="108"/>
        <v>2.6792999999999987</v>
      </c>
      <c r="T246" s="304">
        <f t="shared" ca="1" si="88"/>
        <v>26.283932999999987</v>
      </c>
      <c r="U246" s="311">
        <f t="shared" ca="1" si="89"/>
        <v>0</v>
      </c>
      <c r="V246" s="306">
        <f t="shared" ca="1" si="90"/>
        <v>1.0778635494547546</v>
      </c>
      <c r="W246" s="304">
        <f t="shared" ca="1" si="91"/>
        <v>11.112442107664174</v>
      </c>
      <c r="Y246" s="314" t="str">
        <f t="shared" ca="1" si="109"/>
        <v/>
      </c>
      <c r="Z246" s="315" t="str">
        <f t="shared" ca="1" si="110"/>
        <v/>
      </c>
      <c r="AA246" s="316" t="str">
        <f t="shared" ca="1" si="111"/>
        <v/>
      </c>
      <c r="AC246" s="310" t="e">
        <f t="shared" ca="1" si="112"/>
        <v>#N/A</v>
      </c>
      <c r="AD246" s="323" t="e">
        <f t="shared" ca="1" si="113"/>
        <v>#N/A</v>
      </c>
      <c r="AE246" s="324">
        <f t="shared" ca="1" si="92"/>
        <v>1277.8564373046145</v>
      </c>
      <c r="AG246" s="306">
        <f t="shared" ca="1" si="114"/>
        <v>-13.523151883215931</v>
      </c>
      <c r="AH246" s="304">
        <f t="shared" ca="1" si="115"/>
        <v>-4.3099278175728424</v>
      </c>
    </row>
    <row r="247" spans="1:34" x14ac:dyDescent="0.2">
      <c r="A247" s="347">
        <f t="shared" ca="1" si="93"/>
        <v>0.1</v>
      </c>
      <c r="B247" s="304">
        <f t="shared" ca="1" si="94"/>
        <v>9.4999999999999432</v>
      </c>
      <c r="D247" s="306">
        <f t="shared" ca="1" si="95"/>
        <v>-1.4429950404874787</v>
      </c>
      <c r="E247" s="307">
        <f t="shared" ca="1" si="96"/>
        <v>-13.698400955255753</v>
      </c>
      <c r="F247" s="304">
        <f t="shared" ca="1" si="97"/>
        <v>13.774194111374472</v>
      </c>
      <c r="G247" s="306">
        <f t="shared" ca="1" si="98"/>
        <v>24.542403904408015</v>
      </c>
      <c r="H247" s="307">
        <f t="shared" ca="1" si="99"/>
        <v>65.152773234545464</v>
      </c>
      <c r="I247" s="304">
        <f t="shared" ca="1" si="100"/>
        <v>69.621932245228621</v>
      </c>
      <c r="J247" s="306">
        <f t="shared" ca="1" si="101"/>
        <v>306.09762850445628</v>
      </c>
      <c r="K247" s="307">
        <f t="shared" ca="1" si="102"/>
        <v>1284.4402066328453</v>
      </c>
      <c r="L247" s="304">
        <f t="shared" ca="1" si="87"/>
        <v>1320.409937326692</v>
      </c>
      <c r="M247" s="306">
        <f t="shared" ca="1" si="103"/>
        <v>1.210544759189244</v>
      </c>
      <c r="N247" s="304">
        <f t="shared" ca="1" si="104"/>
        <v>69.359105613224258</v>
      </c>
      <c r="P247" s="310">
        <f t="shared" ca="1" si="105"/>
        <v>23</v>
      </c>
      <c r="Q247" s="304">
        <f t="shared" ca="1" si="106"/>
        <v>0</v>
      </c>
      <c r="R247" s="306">
        <f t="shared" ca="1" si="107"/>
        <v>0</v>
      </c>
      <c r="S247" s="307">
        <f t="shared" ca="1" si="108"/>
        <v>2.6792999999999987</v>
      </c>
      <c r="T247" s="304">
        <f t="shared" ca="1" si="88"/>
        <v>26.283932999999987</v>
      </c>
      <c r="U247" s="311">
        <f t="shared" ca="1" si="89"/>
        <v>0</v>
      </c>
      <c r="V247" s="306">
        <f t="shared" ca="1" si="90"/>
        <v>1.0771512205301126</v>
      </c>
      <c r="W247" s="304">
        <f t="shared" ca="1" si="91"/>
        <v>10.691575123502036</v>
      </c>
      <c r="Y247" s="314" t="str">
        <f t="shared" ca="1" si="109"/>
        <v/>
      </c>
      <c r="Z247" s="315" t="str">
        <f t="shared" ca="1" si="110"/>
        <v/>
      </c>
      <c r="AA247" s="316" t="str">
        <f t="shared" ca="1" si="111"/>
        <v/>
      </c>
      <c r="AC247" s="310" t="e">
        <f t="shared" ca="1" si="112"/>
        <v>#N/A</v>
      </c>
      <c r="AD247" s="323" t="e">
        <f t="shared" ca="1" si="113"/>
        <v>#N/A</v>
      </c>
      <c r="AE247" s="324">
        <f t="shared" ca="1" si="92"/>
        <v>1284.4402066328453</v>
      </c>
      <c r="AG247" s="306">
        <f t="shared" ca="1" si="114"/>
        <v>-13.34463752535725</v>
      </c>
      <c r="AH247" s="304">
        <f t="shared" ca="1" si="115"/>
        <v>-4.1475169289232934</v>
      </c>
    </row>
    <row r="248" spans="1:34" x14ac:dyDescent="0.2">
      <c r="A248" s="347">
        <f t="shared" ca="1" si="93"/>
        <v>0.1</v>
      </c>
      <c r="B248" s="304">
        <f t="shared" ca="1" si="94"/>
        <v>9.5999999999999428</v>
      </c>
      <c r="D248" s="306">
        <f t="shared" ca="1" si="95"/>
        <v>-1.4066672446240882</v>
      </c>
      <c r="E248" s="307">
        <f t="shared" ca="1" si="96"/>
        <v>-13.544282605828817</v>
      </c>
      <c r="F248" s="304">
        <f t="shared" ca="1" si="97"/>
        <v>13.617132739444651</v>
      </c>
      <c r="G248" s="306">
        <f t="shared" ca="1" si="98"/>
        <v>24.401737179945606</v>
      </c>
      <c r="H248" s="307">
        <f t="shared" ca="1" si="99"/>
        <v>63.798344973962585</v>
      </c>
      <c r="I248" s="304">
        <f t="shared" ca="1" si="100"/>
        <v>68.305736207260637</v>
      </c>
      <c r="J248" s="306">
        <f t="shared" ca="1" si="101"/>
        <v>308.54483555867398</v>
      </c>
      <c r="K248" s="307">
        <f t="shared" ca="1" si="102"/>
        <v>1290.8877625432706</v>
      </c>
      <c r="L248" s="304">
        <f t="shared" ca="1" si="87"/>
        <v>1327.2494607397286</v>
      </c>
      <c r="M248" s="306">
        <f t="shared" ca="1" si="103"/>
        <v>1.2054820298152054</v>
      </c>
      <c r="N248" s="304">
        <f t="shared" ca="1" si="104"/>
        <v>69.069032587274933</v>
      </c>
      <c r="P248" s="310">
        <f t="shared" ca="1" si="105"/>
        <v>23</v>
      </c>
      <c r="Q248" s="304">
        <f t="shared" ca="1" si="106"/>
        <v>0</v>
      </c>
      <c r="R248" s="306">
        <f t="shared" ca="1" si="107"/>
        <v>0</v>
      </c>
      <c r="S248" s="307">
        <f t="shared" ca="1" si="108"/>
        <v>2.6792999999999987</v>
      </c>
      <c r="T248" s="304">
        <f t="shared" ca="1" si="88"/>
        <v>26.283932999999987</v>
      </c>
      <c r="U248" s="311">
        <f t="shared" ca="1" si="89"/>
        <v>0</v>
      </c>
      <c r="V248" s="306">
        <f t="shared" ca="1" si="90"/>
        <v>1.0764540561434428</v>
      </c>
      <c r="W248" s="304">
        <f t="shared" ca="1" si="91"/>
        <v>10.284489073682424</v>
      </c>
      <c r="Y248" s="314" t="str">
        <f t="shared" ca="1" si="109"/>
        <v/>
      </c>
      <c r="Z248" s="315" t="str">
        <f t="shared" ca="1" si="110"/>
        <v/>
      </c>
      <c r="AA248" s="316" t="str">
        <f t="shared" ca="1" si="111"/>
        <v/>
      </c>
      <c r="AC248" s="310" t="e">
        <f t="shared" ca="1" si="112"/>
        <v>#N/A</v>
      </c>
      <c r="AD248" s="323" t="e">
        <f t="shared" ca="1" si="113"/>
        <v>#N/A</v>
      </c>
      <c r="AE248" s="324">
        <f t="shared" ca="1" si="92"/>
        <v>1290.8877625432706</v>
      </c>
      <c r="AG248" s="306">
        <f t="shared" ca="1" si="114"/>
        <v>-13.170714160718671</v>
      </c>
      <c r="AH248" s="304">
        <f t="shared" ca="1" si="115"/>
        <v>-3.9904359808539698</v>
      </c>
    </row>
    <row r="249" spans="1:34" x14ac:dyDescent="0.2">
      <c r="A249" s="347">
        <f t="shared" ca="1" si="93"/>
        <v>0.1</v>
      </c>
      <c r="B249" s="304">
        <f t="shared" ca="1" si="94"/>
        <v>9.6999999999999424</v>
      </c>
      <c r="D249" s="306">
        <f t="shared" ca="1" si="95"/>
        <v>-1.3712762229321254</v>
      </c>
      <c r="E249" s="307">
        <f t="shared" ca="1" si="96"/>
        <v>-13.395201860018197</v>
      </c>
      <c r="F249" s="304">
        <f t="shared" ca="1" si="97"/>
        <v>13.465208180723161</v>
      </c>
      <c r="G249" s="306">
        <f t="shared" ca="1" si="98"/>
        <v>24.264609557652392</v>
      </c>
      <c r="H249" s="307">
        <f t="shared" ca="1" si="99"/>
        <v>62.458824787960765</v>
      </c>
      <c r="I249" s="304">
        <f t="shared" ca="1" si="100"/>
        <v>67.006537523427497</v>
      </c>
      <c r="J249" s="306">
        <f t="shared" ca="1" si="101"/>
        <v>310.97815289555388</v>
      </c>
      <c r="K249" s="307">
        <f t="shared" ca="1" si="102"/>
        <v>1297.2006210313668</v>
      </c>
      <c r="L249" s="304">
        <f t="shared" ca="1" si="87"/>
        <v>1333.955345123102</v>
      </c>
      <c r="M249" s="306">
        <f t="shared" ca="1" si="103"/>
        <v>1.2002518408614082</v>
      </c>
      <c r="N249" s="304">
        <f t="shared" ca="1" si="104"/>
        <v>68.769364834166424</v>
      </c>
      <c r="P249" s="310">
        <f t="shared" ca="1" si="105"/>
        <v>23</v>
      </c>
      <c r="Q249" s="304">
        <f t="shared" ca="1" si="106"/>
        <v>0</v>
      </c>
      <c r="R249" s="306">
        <f t="shared" ca="1" si="107"/>
        <v>0</v>
      </c>
      <c r="S249" s="307">
        <f t="shared" ca="1" si="108"/>
        <v>2.6792999999999987</v>
      </c>
      <c r="T249" s="304">
        <f t="shared" ca="1" si="88"/>
        <v>26.283932999999987</v>
      </c>
      <c r="U249" s="311">
        <f t="shared" ca="1" si="89"/>
        <v>0</v>
      </c>
      <c r="V249" s="306">
        <f t="shared" ca="1" si="90"/>
        <v>1.075771865369556</v>
      </c>
      <c r="W249" s="304">
        <f t="shared" ca="1" si="91"/>
        <v>9.8907085629278981</v>
      </c>
      <c r="Y249" s="314" t="str">
        <f t="shared" ca="1" si="109"/>
        <v/>
      </c>
      <c r="Z249" s="315" t="str">
        <f t="shared" ca="1" si="110"/>
        <v/>
      </c>
      <c r="AA249" s="316" t="str">
        <f t="shared" ca="1" si="111"/>
        <v/>
      </c>
      <c r="AC249" s="310" t="e">
        <f t="shared" ca="1" si="112"/>
        <v>#N/A</v>
      </c>
      <c r="AD249" s="323" t="e">
        <f t="shared" ca="1" si="113"/>
        <v>#N/A</v>
      </c>
      <c r="AE249" s="324">
        <f t="shared" ca="1" si="92"/>
        <v>1297.2006210313668</v>
      </c>
      <c r="AG249" s="306">
        <f t="shared" ca="1" si="114"/>
        <v>-13.001151595230265</v>
      </c>
      <c r="AH249" s="304">
        <f t="shared" ca="1" si="115"/>
        <v>-3.838498515911779</v>
      </c>
    </row>
    <row r="250" spans="1:34" x14ac:dyDescent="0.2">
      <c r="A250" s="347">
        <f t="shared" ca="1" si="93"/>
        <v>0.1</v>
      </c>
      <c r="B250" s="304">
        <f t="shared" ca="1" si="94"/>
        <v>9.7999999999999421</v>
      </c>
      <c r="D250" s="306">
        <f t="shared" ca="1" si="95"/>
        <v>-1.3367869330209146</v>
      </c>
      <c r="E250" s="307">
        <f t="shared" ca="1" si="96"/>
        <v>-13.250984312152553</v>
      </c>
      <c r="F250" s="304">
        <f t="shared" ca="1" si="97"/>
        <v>13.318242547168472</v>
      </c>
      <c r="G250" s="306">
        <f t="shared" ca="1" si="98"/>
        <v>24.130930864350301</v>
      </c>
      <c r="H250" s="307">
        <f t="shared" ca="1" si="99"/>
        <v>61.133726356745512</v>
      </c>
      <c r="I250" s="304">
        <f t="shared" ca="1" si="100"/>
        <v>65.723925039832295</v>
      </c>
      <c r="J250" s="306">
        <f t="shared" ca="1" si="101"/>
        <v>313.39792991665399</v>
      </c>
      <c r="K250" s="307">
        <f t="shared" ca="1" si="102"/>
        <v>1303.3802485886022</v>
      </c>
      <c r="L250" s="304">
        <f t="shared" ca="1" si="87"/>
        <v>1340.529124967798</v>
      </c>
      <c r="M250" s="306">
        <f t="shared" ca="1" si="103"/>
        <v>1.1948467405168539</v>
      </c>
      <c r="N250" s="304">
        <f t="shared" ca="1" si="104"/>
        <v>68.459675396578746</v>
      </c>
      <c r="P250" s="310">
        <f t="shared" ca="1" si="105"/>
        <v>23</v>
      </c>
      <c r="Q250" s="304">
        <f t="shared" ca="1" si="106"/>
        <v>0</v>
      </c>
      <c r="R250" s="306">
        <f t="shared" ca="1" si="107"/>
        <v>0</v>
      </c>
      <c r="S250" s="307">
        <f t="shared" ca="1" si="108"/>
        <v>2.6792999999999987</v>
      </c>
      <c r="T250" s="304">
        <f t="shared" ca="1" si="88"/>
        <v>26.283932999999987</v>
      </c>
      <c r="U250" s="311">
        <f t="shared" ca="1" si="89"/>
        <v>0</v>
      </c>
      <c r="V250" s="306">
        <f t="shared" ca="1" si="90"/>
        <v>1.0751044636212777</v>
      </c>
      <c r="W250" s="304">
        <f t="shared" ca="1" si="91"/>
        <v>9.5097810432155025</v>
      </c>
      <c r="Y250" s="314" t="str">
        <f t="shared" ca="1" si="109"/>
        <v/>
      </c>
      <c r="Z250" s="315" t="str">
        <f t="shared" ca="1" si="110"/>
        <v/>
      </c>
      <c r="AA250" s="316" t="str">
        <f t="shared" ca="1" si="111"/>
        <v/>
      </c>
      <c r="AC250" s="310" t="e">
        <f t="shared" ca="1" si="112"/>
        <v>#N/A</v>
      </c>
      <c r="AD250" s="323" t="e">
        <f t="shared" ca="1" si="113"/>
        <v>#N/A</v>
      </c>
      <c r="AE250" s="324">
        <f t="shared" ca="1" si="92"/>
        <v>1303.3802485886022</v>
      </c>
      <c r="AG250" s="306">
        <f t="shared" ca="1" si="114"/>
        <v>-12.835725470989576</v>
      </c>
      <c r="AH250" s="304">
        <f t="shared" ca="1" si="115"/>
        <v>-3.6915271014548212</v>
      </c>
    </row>
    <row r="251" spans="1:34" x14ac:dyDescent="0.2">
      <c r="A251" s="347">
        <f t="shared" ca="1" si="93"/>
        <v>0.1</v>
      </c>
      <c r="B251" s="304">
        <f t="shared" ca="1" si="94"/>
        <v>9.8999999999999417</v>
      </c>
      <c r="D251" s="306">
        <f t="shared" ca="1" si="95"/>
        <v>-1.3031660503266327</v>
      </c>
      <c r="E251" s="307">
        <f t="shared" ca="1" si="96"/>
        <v>-13.111463883258869</v>
      </c>
      <c r="F251" s="304">
        <f t="shared" ca="1" si="97"/>
        <v>13.176066443241915</v>
      </c>
      <c r="G251" s="306">
        <f t="shared" ca="1" si="98"/>
        <v>24.000614259317636</v>
      </c>
      <c r="H251" s="307">
        <f t="shared" ca="1" si="99"/>
        <v>59.822579968419625</v>
      </c>
      <c r="I251" s="304">
        <f t="shared" ca="1" si="100"/>
        <v>64.457509716886534</v>
      </c>
      <c r="J251" s="306">
        <f t="shared" ca="1" si="101"/>
        <v>315.80450717283736</v>
      </c>
      <c r="K251" s="307">
        <f t="shared" ca="1" si="102"/>
        <v>1309.4280639048604</v>
      </c>
      <c r="L251" s="304">
        <f t="shared" ca="1" si="87"/>
        <v>1346.9722867573444</v>
      </c>
      <c r="M251" s="306">
        <f t="shared" ca="1" si="103"/>
        <v>1.1892588443380216</v>
      </c>
      <c r="N251" s="304">
        <f t="shared" ca="1" si="104"/>
        <v>68.139512529174382</v>
      </c>
      <c r="P251" s="310">
        <f t="shared" ca="1" si="105"/>
        <v>23</v>
      </c>
      <c r="Q251" s="304">
        <f t="shared" ca="1" si="106"/>
        <v>0</v>
      </c>
      <c r="R251" s="306">
        <f t="shared" ca="1" si="107"/>
        <v>0</v>
      </c>
      <c r="S251" s="307">
        <f t="shared" ca="1" si="108"/>
        <v>2.6792999999999987</v>
      </c>
      <c r="T251" s="304">
        <f t="shared" ca="1" si="88"/>
        <v>26.283932999999987</v>
      </c>
      <c r="U251" s="311">
        <f t="shared" ca="1" si="89"/>
        <v>0</v>
      </c>
      <c r="V251" s="306">
        <f t="shared" ca="1" si="90"/>
        <v>1.0744516724265836</v>
      </c>
      <c r="W251" s="304">
        <f t="shared" ca="1" si="91"/>
        <v>9.1412755678826816</v>
      </c>
      <c r="Y251" s="314" t="str">
        <f t="shared" ca="1" si="109"/>
        <v/>
      </c>
      <c r="Z251" s="315" t="str">
        <f t="shared" ca="1" si="110"/>
        <v/>
      </c>
      <c r="AA251" s="316" t="str">
        <f t="shared" ca="1" si="111"/>
        <v/>
      </c>
      <c r="AC251" s="310" t="e">
        <f t="shared" ca="1" si="112"/>
        <v>#N/A</v>
      </c>
      <c r="AD251" s="323" t="e">
        <f t="shared" ca="1" si="113"/>
        <v>#N/A</v>
      </c>
      <c r="AE251" s="324">
        <f t="shared" ca="1" si="92"/>
        <v>1309.4280639048604</v>
      </c>
      <c r="AG251" s="306">
        <f t="shared" ca="1" si="114"/>
        <v>-12.674216497810452</v>
      </c>
      <c r="AH251" s="304">
        <f t="shared" ca="1" si="115"/>
        <v>-3.5493528321634411</v>
      </c>
    </row>
    <row r="252" spans="1:34" x14ac:dyDescent="0.2">
      <c r="A252" s="347">
        <f t="shared" ca="1" si="93"/>
        <v>0.1</v>
      </c>
      <c r="B252" s="304">
        <f t="shared" ca="1" si="94"/>
        <v>9.9999999999999414</v>
      </c>
      <c r="D252" s="306">
        <f t="shared" ca="1" si="95"/>
        <v>-1.2703818819486361</v>
      </c>
      <c r="E252" s="307">
        <f t="shared" ca="1" si="96"/>
        <v>-12.976482361750371</v>
      </c>
      <c r="F252" s="304">
        <f t="shared" ca="1" si="97"/>
        <v>13.038518497544183</v>
      </c>
      <c r="G252" s="306">
        <f t="shared" ca="1" si="98"/>
        <v>23.873576071122773</v>
      </c>
      <c r="H252" s="307">
        <f t="shared" ca="1" si="99"/>
        <v>58.524931732244589</v>
      </c>
      <c r="I252" s="304">
        <f t="shared" ca="1" si="100"/>
        <v>63.206924214737548</v>
      </c>
      <c r="J252" s="306">
        <f t="shared" ca="1" si="101"/>
        <v>318.19821668935936</v>
      </c>
      <c r="K252" s="307">
        <f t="shared" ca="1" si="102"/>
        <v>1315.3454394898936</v>
      </c>
      <c r="L252" s="304">
        <f t="shared" ca="1" si="87"/>
        <v>1353.2862706357255</v>
      </c>
      <c r="M252" s="306">
        <f t="shared" ca="1" si="103"/>
        <v>1.1834798056506313</v>
      </c>
      <c r="N252" s="304">
        <f t="shared" ca="1" si="104"/>
        <v>67.808398002744084</v>
      </c>
      <c r="P252" s="310">
        <f t="shared" ca="1" si="105"/>
        <v>23</v>
      </c>
      <c r="Q252" s="304">
        <f t="shared" ca="1" si="106"/>
        <v>0</v>
      </c>
      <c r="R252" s="306">
        <f t="shared" ca="1" si="107"/>
        <v>0</v>
      </c>
      <c r="S252" s="307">
        <f t="shared" ca="1" si="108"/>
        <v>2.6792999999999987</v>
      </c>
      <c r="T252" s="304">
        <f t="shared" ca="1" si="88"/>
        <v>26.283932999999987</v>
      </c>
      <c r="U252" s="311">
        <f t="shared" ca="1" si="89"/>
        <v>0</v>
      </c>
      <c r="V252" s="306">
        <f t="shared" ca="1" si="90"/>
        <v>1.0738133192164978</v>
      </c>
      <c r="W252" s="304">
        <f t="shared" ca="1" si="91"/>
        <v>8.784781626365346</v>
      </c>
      <c r="Y252" s="314" t="str">
        <f t="shared" ca="1" si="109"/>
        <v/>
      </c>
      <c r="Z252" s="315" t="str">
        <f t="shared" ca="1" si="110"/>
        <v/>
      </c>
      <c r="AA252" s="316" t="str">
        <f t="shared" ca="1" si="111"/>
        <v/>
      </c>
      <c r="AC252" s="310">
        <f t="shared" ca="1" si="112"/>
        <v>9.9999999999999414</v>
      </c>
      <c r="AD252" s="323">
        <f t="shared" ca="1" si="113"/>
        <v>318.19821668935936</v>
      </c>
      <c r="AE252" s="324">
        <f t="shared" ca="1" si="92"/>
        <v>1315.3454394898936</v>
      </c>
      <c r="AG252" s="306">
        <f t="shared" ca="1" si="114"/>
        <v>-12.516409691420559</v>
      </c>
      <c r="AH252" s="304">
        <f t="shared" ca="1" si="115"/>
        <v>-3.4118148650329139</v>
      </c>
    </row>
    <row r="253" spans="1:34" x14ac:dyDescent="0.2">
      <c r="A253" s="347">
        <f t="shared" ca="1" si="93"/>
        <v>0.1</v>
      </c>
      <c r="B253" s="304">
        <f t="shared" ca="1" si="94"/>
        <v>10.099999999999941</v>
      </c>
      <c r="D253" s="306">
        <f t="shared" ca="1" si="95"/>
        <v>-1.2384042868791103</v>
      </c>
      <c r="E253" s="307">
        <f t="shared" ca="1" si="96"/>
        <v>-12.845888973256379</v>
      </c>
      <c r="F253" s="304">
        <f t="shared" ca="1" si="97"/>
        <v>12.905444924177948</v>
      </c>
      <c r="G253" s="306">
        <f t="shared" ca="1" si="98"/>
        <v>23.749735642434864</v>
      </c>
      <c r="H253" s="307">
        <f t="shared" ca="1" si="99"/>
        <v>57.240342834918948</v>
      </c>
      <c r="I253" s="304">
        <f t="shared" ca="1" si="100"/>
        <v>61.971822556260179</v>
      </c>
      <c r="J253" s="306">
        <f t="shared" ca="1" si="101"/>
        <v>320.57938227503723</v>
      </c>
      <c r="K253" s="307">
        <f t="shared" ca="1" si="102"/>
        <v>1321.1337032182519</v>
      </c>
      <c r="L253" s="304">
        <f t="shared" ca="1" si="87"/>
        <v>1359.4724719975086</v>
      </c>
      <c r="M253" s="306">
        <f t="shared" ca="1" si="103"/>
        <v>1.1775007837134803</v>
      </c>
      <c r="N253" s="304">
        <f t="shared" ca="1" si="104"/>
        <v>67.465825280129209</v>
      </c>
      <c r="P253" s="310">
        <f t="shared" ca="1" si="105"/>
        <v>23</v>
      </c>
      <c r="Q253" s="304">
        <f t="shared" ca="1" si="106"/>
        <v>0</v>
      </c>
      <c r="R253" s="306">
        <f t="shared" ca="1" si="107"/>
        <v>0</v>
      </c>
      <c r="S253" s="307">
        <f t="shared" ca="1" si="108"/>
        <v>2.6792999999999987</v>
      </c>
      <c r="T253" s="304">
        <f t="shared" ca="1" si="88"/>
        <v>26.283932999999987</v>
      </c>
      <c r="U253" s="311">
        <f t="shared" ca="1" si="89"/>
        <v>0</v>
      </c>
      <c r="V253" s="306">
        <f t="shared" ca="1" si="90"/>
        <v>1.0731892371231575</v>
      </c>
      <c r="W253" s="304">
        <f t="shared" ca="1" si="91"/>
        <v>8.4399080536978808</v>
      </c>
      <c r="Y253" s="314" t="str">
        <f t="shared" ca="1" si="109"/>
        <v/>
      </c>
      <c r="Z253" s="315" t="str">
        <f t="shared" ca="1" si="110"/>
        <v/>
      </c>
      <c r="AA253" s="316" t="str">
        <f t="shared" ca="1" si="111"/>
        <v/>
      </c>
      <c r="AC253" s="310" t="e">
        <f t="shared" ca="1" si="112"/>
        <v>#N/A</v>
      </c>
      <c r="AD253" s="323" t="e">
        <f t="shared" ca="1" si="113"/>
        <v>#N/A</v>
      </c>
      <c r="AE253" s="324">
        <f t="shared" ca="1" si="92"/>
        <v>1321.1337032182519</v>
      </c>
      <c r="AG253" s="306">
        <f t="shared" ca="1" si="114"/>
        <v>-12.362093613269813</v>
      </c>
      <c r="AH253" s="304">
        <f t="shared" ca="1" si="115"/>
        <v>-3.2787599844606241</v>
      </c>
    </row>
    <row r="254" spans="1:34" x14ac:dyDescent="0.2">
      <c r="A254" s="347">
        <f t="shared" ca="1" si="93"/>
        <v>0.1</v>
      </c>
      <c r="B254" s="304">
        <f t="shared" ca="1" si="94"/>
        <v>10.199999999999941</v>
      </c>
      <c r="D254" s="306">
        <f t="shared" ca="1" si="95"/>
        <v>-1.2072046022443668</v>
      </c>
      <c r="E254" s="307">
        <f t="shared" ca="1" si="96"/>
        <v>-12.719539977400572</v>
      </c>
      <c r="F254" s="304">
        <f t="shared" ca="1" si="97"/>
        <v>12.776699111600434</v>
      </c>
      <c r="G254" s="306">
        <f t="shared" ca="1" si="98"/>
        <v>23.629015182210427</v>
      </c>
      <c r="H254" s="307">
        <f t="shared" ca="1" si="99"/>
        <v>55.968388837178892</v>
      </c>
      <c r="I254" s="304">
        <f t="shared" ca="1" si="100"/>
        <v>60.751879868122451</v>
      </c>
      <c r="J254" s="306">
        <f t="shared" ca="1" si="101"/>
        <v>322.94831981626947</v>
      </c>
      <c r="K254" s="307">
        <f t="shared" ca="1" si="102"/>
        <v>1326.7941398018568</v>
      </c>
      <c r="L254" s="304">
        <f t="shared" ca="1" si="87"/>
        <v>1365.5322430044266</v>
      </c>
      <c r="M254" s="306">
        <f t="shared" ca="1" si="103"/>
        <v>1.1713124094755316</v>
      </c>
      <c r="N254" s="304">
        <f t="shared" ca="1" si="104"/>
        <v>67.11125755424726</v>
      </c>
      <c r="P254" s="310">
        <f t="shared" ca="1" si="105"/>
        <v>23</v>
      </c>
      <c r="Q254" s="304">
        <f t="shared" ca="1" si="106"/>
        <v>0</v>
      </c>
      <c r="R254" s="306">
        <f t="shared" ca="1" si="107"/>
        <v>0</v>
      </c>
      <c r="S254" s="307">
        <f t="shared" ca="1" si="108"/>
        <v>2.6792999999999987</v>
      </c>
      <c r="T254" s="304">
        <f t="shared" ca="1" si="88"/>
        <v>26.283932999999987</v>
      </c>
      <c r="U254" s="311">
        <f t="shared" ca="1" si="89"/>
        <v>0</v>
      </c>
      <c r="V254" s="306">
        <f t="shared" ca="1" si="90"/>
        <v>1.0725792647874854</v>
      </c>
      <c r="W254" s="304">
        <f t="shared" ca="1" si="91"/>
        <v>8.1062820093832677</v>
      </c>
      <c r="Y254" s="314" t="str">
        <f t="shared" ca="1" si="109"/>
        <v/>
      </c>
      <c r="Z254" s="315" t="str">
        <f t="shared" ca="1" si="110"/>
        <v/>
      </c>
      <c r="AA254" s="316" t="str">
        <f t="shared" ca="1" si="111"/>
        <v/>
      </c>
      <c r="AC254" s="310" t="e">
        <f t="shared" ca="1" si="112"/>
        <v>#N/A</v>
      </c>
      <c r="AD254" s="323" t="e">
        <f t="shared" ca="1" si="113"/>
        <v>#N/A</v>
      </c>
      <c r="AE254" s="324">
        <f t="shared" ca="1" si="92"/>
        <v>1326.7941398018568</v>
      </c>
      <c r="AG254" s="306">
        <f t="shared" ca="1" si="114"/>
        <v>-12.211059606831864</v>
      </c>
      <c r="AH254" s="304">
        <f t="shared" ca="1" si="115"/>
        <v>-3.1500421952367725</v>
      </c>
    </row>
    <row r="255" spans="1:34" x14ac:dyDescent="0.2">
      <c r="A255" s="347">
        <f t="shared" ca="1" si="93"/>
        <v>0.1</v>
      </c>
      <c r="B255" s="304">
        <f t="shared" ca="1" si="94"/>
        <v>10.29999999999994</v>
      </c>
      <c r="D255" s="306">
        <f t="shared" ca="1" si="95"/>
        <v>-1.1767555752161847</v>
      </c>
      <c r="E255" s="307">
        <f t="shared" ca="1" si="96"/>
        <v>-12.597298289503087</v>
      </c>
      <c r="F255" s="304">
        <f t="shared" ca="1" si="97"/>
        <v>12.652141236902146</v>
      </c>
      <c r="G255" s="306">
        <f t="shared" ca="1" si="98"/>
        <v>23.511339624688809</v>
      </c>
      <c r="H255" s="307">
        <f t="shared" ca="1" si="99"/>
        <v>54.708659008228587</v>
      </c>
      <c r="I255" s="304">
        <f t="shared" ca="1" si="100"/>
        <v>59.546792200974963</v>
      </c>
      <c r="J255" s="306">
        <f t="shared" ca="1" si="101"/>
        <v>325.30533755661446</v>
      </c>
      <c r="K255" s="307">
        <f t="shared" ca="1" si="102"/>
        <v>1332.3279921941271</v>
      </c>
      <c r="L255" s="304">
        <f t="shared" ca="1" si="87"/>
        <v>1371.4668940323922</v>
      </c>
      <c r="M255" s="306">
        <f t="shared" ca="1" si="103"/>
        <v>1.164904748747926</v>
      </c>
      <c r="N255" s="304">
        <f t="shared" ca="1" si="104"/>
        <v>66.744125638003737</v>
      </c>
      <c r="P255" s="310">
        <f t="shared" ca="1" si="105"/>
        <v>23</v>
      </c>
      <c r="Q255" s="304">
        <f t="shared" ca="1" si="106"/>
        <v>0</v>
      </c>
      <c r="R255" s="306">
        <f t="shared" ca="1" si="107"/>
        <v>0</v>
      </c>
      <c r="S255" s="307">
        <f t="shared" ca="1" si="108"/>
        <v>2.6792999999999987</v>
      </c>
      <c r="T255" s="304">
        <f t="shared" ca="1" si="88"/>
        <v>26.283932999999987</v>
      </c>
      <c r="U255" s="311">
        <f t="shared" ca="1" si="89"/>
        <v>0</v>
      </c>
      <c r="V255" s="306">
        <f t="shared" ca="1" si="90"/>
        <v>1.0719832461759429</v>
      </c>
      <c r="W255" s="304">
        <f t="shared" ca="1" si="91"/>
        <v>7.7835480206764149</v>
      </c>
      <c r="Y255" s="314" t="str">
        <f t="shared" ca="1" si="109"/>
        <v/>
      </c>
      <c r="Z255" s="315" t="str">
        <f t="shared" ca="1" si="110"/>
        <v/>
      </c>
      <c r="AA255" s="316" t="str">
        <f t="shared" ca="1" si="111"/>
        <v/>
      </c>
      <c r="AC255" s="310" t="e">
        <f t="shared" ca="1" si="112"/>
        <v>#N/A</v>
      </c>
      <c r="AD255" s="323" t="e">
        <f t="shared" ca="1" si="113"/>
        <v>#N/A</v>
      </c>
      <c r="AE255" s="324">
        <f t="shared" ca="1" si="92"/>
        <v>1332.3279921941271</v>
      </c>
      <c r="AG255" s="306">
        <f t="shared" ca="1" si="114"/>
        <v>-12.063101025157138</v>
      </c>
      <c r="AH255" s="304">
        <f t="shared" ca="1" si="115"/>
        <v>-3.0255223414262202</v>
      </c>
    </row>
    <row r="256" spans="1:34" x14ac:dyDescent="0.2">
      <c r="A256" s="347">
        <f t="shared" ca="1" si="93"/>
        <v>0.1</v>
      </c>
      <c r="B256" s="304">
        <f t="shared" ca="1" si="94"/>
        <v>10.39999999999994</v>
      </c>
      <c r="D256" s="306">
        <f t="shared" ca="1" si="95"/>
        <v>-1.147031300288949</v>
      </c>
      <c r="E256" s="307">
        <f t="shared" ca="1" si="96"/>
        <v>-12.479033125334038</v>
      </c>
      <c r="F256" s="304">
        <f t="shared" ca="1" si="97"/>
        <v>12.531637903603293</v>
      </c>
      <c r="G256" s="306">
        <f t="shared" ca="1" si="98"/>
        <v>23.396636494659912</v>
      </c>
      <c r="H256" s="307">
        <f t="shared" ca="1" si="99"/>
        <v>53.460755695695184</v>
      </c>
      <c r="I256" s="304">
        <f t="shared" ca="1" si="100"/>
        <v>58.356276430372567</v>
      </c>
      <c r="J256" s="306">
        <f t="shared" ca="1" si="101"/>
        <v>327.65073636258188</v>
      </c>
      <c r="K256" s="307">
        <f t="shared" ca="1" si="102"/>
        <v>1337.7364629293234</v>
      </c>
      <c r="L256" s="304">
        <f t="shared" ca="1" si="87"/>
        <v>1377.2776950526713</v>
      </c>
      <c r="M256" s="306">
        <f t="shared" ca="1" si="103"/>
        <v>1.1582672626036496</v>
      </c>
      <c r="N256" s="304">
        <f t="shared" ca="1" si="104"/>
        <v>66.363825695360134</v>
      </c>
      <c r="P256" s="310">
        <f t="shared" ca="1" si="105"/>
        <v>23</v>
      </c>
      <c r="Q256" s="304">
        <f t="shared" ca="1" si="106"/>
        <v>0</v>
      </c>
      <c r="R256" s="306">
        <f t="shared" ca="1" si="107"/>
        <v>0</v>
      </c>
      <c r="S256" s="307">
        <f t="shared" ca="1" si="108"/>
        <v>2.6792999999999987</v>
      </c>
      <c r="T256" s="304">
        <f t="shared" ca="1" si="88"/>
        <v>26.283932999999987</v>
      </c>
      <c r="U256" s="311">
        <f t="shared" ca="1" si="89"/>
        <v>0</v>
      </c>
      <c r="V256" s="306">
        <f t="shared" ca="1" si="90"/>
        <v>1.0714010304058794</v>
      </c>
      <c r="W256" s="304">
        <f t="shared" ca="1" si="91"/>
        <v>7.4713670857201508</v>
      </c>
      <c r="Y256" s="314" t="str">
        <f t="shared" ca="1" si="109"/>
        <v/>
      </c>
      <c r="Z256" s="315" t="str">
        <f t="shared" ca="1" si="110"/>
        <v/>
      </c>
      <c r="AA256" s="316" t="str">
        <f t="shared" ca="1" si="111"/>
        <v/>
      </c>
      <c r="AC256" s="310" t="e">
        <f t="shared" ca="1" si="112"/>
        <v>#N/A</v>
      </c>
      <c r="AD256" s="323" t="e">
        <f t="shared" ca="1" si="113"/>
        <v>#N/A</v>
      </c>
      <c r="AE256" s="324">
        <f t="shared" ca="1" si="92"/>
        <v>1337.7364629293234</v>
      </c>
      <c r="AG256" s="306">
        <f t="shared" ca="1" si="114"/>
        <v>-11.918012444269184</v>
      </c>
      <c r="AH256" s="304">
        <f t="shared" ca="1" si="115"/>
        <v>-2.9050677492913892</v>
      </c>
    </row>
    <row r="257" spans="1:34" x14ac:dyDescent="0.2">
      <c r="A257" s="347">
        <f t="shared" ca="1" si="93"/>
        <v>0.1</v>
      </c>
      <c r="B257" s="304">
        <f t="shared" ca="1" si="94"/>
        <v>10.49999999999994</v>
      </c>
      <c r="D257" s="306">
        <f t="shared" ca="1" si="95"/>
        <v>-1.1180071616534306</v>
      </c>
      <c r="E257" s="307">
        <f t="shared" ca="1" si="96"/>
        <v>-12.364619667183081</v>
      </c>
      <c r="F257" s="304">
        <f t="shared" ca="1" si="97"/>
        <v>12.415061801199341</v>
      </c>
      <c r="G257" s="306">
        <f t="shared" ca="1" si="98"/>
        <v>23.284835778494568</v>
      </c>
      <c r="H257" s="307">
        <f t="shared" ca="1" si="99"/>
        <v>52.224293728976875</v>
      </c>
      <c r="I257" s="304">
        <f t="shared" ca="1" si="100"/>
        <v>57.180070240617177</v>
      </c>
      <c r="J257" s="306">
        <f t="shared" ca="1" si="101"/>
        <v>329.9848099762396</v>
      </c>
      <c r="K257" s="307">
        <f t="shared" ca="1" si="102"/>
        <v>1343.020715400557</v>
      </c>
      <c r="L257" s="304">
        <f t="shared" ca="1" si="87"/>
        <v>1382.9658769507218</v>
      </c>
      <c r="M257" s="306">
        <f t="shared" ca="1" si="103"/>
        <v>1.1513887648095935</v>
      </c>
      <c r="N257" s="304">
        <f t="shared" ca="1" si="104"/>
        <v>65.969716802370669</v>
      </c>
      <c r="P257" s="310">
        <f t="shared" ca="1" si="105"/>
        <v>23</v>
      </c>
      <c r="Q257" s="304">
        <f t="shared" ca="1" si="106"/>
        <v>0</v>
      </c>
      <c r="R257" s="306">
        <f t="shared" ca="1" si="107"/>
        <v>0</v>
      </c>
      <c r="S257" s="307">
        <f t="shared" ca="1" si="108"/>
        <v>2.6792999999999987</v>
      </c>
      <c r="T257" s="304">
        <f t="shared" ca="1" si="88"/>
        <v>26.283932999999987</v>
      </c>
      <c r="U257" s="311">
        <f t="shared" ca="1" si="89"/>
        <v>0</v>
      </c>
      <c r="V257" s="306">
        <f t="shared" ca="1" si="90"/>
        <v>1.0708324715790065</v>
      </c>
      <c r="W257" s="304">
        <f t="shared" ca="1" si="91"/>
        <v>7.1694158323341926</v>
      </c>
      <c r="Y257" s="314" t="str">
        <f t="shared" ca="1" si="109"/>
        <v/>
      </c>
      <c r="Z257" s="315" t="str">
        <f t="shared" ca="1" si="110"/>
        <v/>
      </c>
      <c r="AA257" s="316" t="str">
        <f t="shared" ca="1" si="111"/>
        <v/>
      </c>
      <c r="AC257" s="310" t="e">
        <f t="shared" ca="1" si="112"/>
        <v>#N/A</v>
      </c>
      <c r="AD257" s="323" t="e">
        <f t="shared" ca="1" si="113"/>
        <v>#N/A</v>
      </c>
      <c r="AE257" s="324">
        <f t="shared" ca="1" si="92"/>
        <v>1343.020715400557</v>
      </c>
      <c r="AG257" s="306">
        <f t="shared" ca="1" si="114"/>
        <v>-11.775588856787298</v>
      </c>
      <c r="AH257" s="304">
        <f t="shared" ca="1" si="115"/>
        <v>-2.7885518925540831</v>
      </c>
    </row>
    <row r="258" spans="1:34" x14ac:dyDescent="0.2">
      <c r="A258" s="347">
        <f t="shared" ca="1" si="93"/>
        <v>0.1</v>
      </c>
      <c r="B258" s="304">
        <f t="shared" ca="1" si="94"/>
        <v>10.599999999999939</v>
      </c>
      <c r="D258" s="306">
        <f t="shared" ca="1" si="95"/>
        <v>-1.0896597804311521</v>
      </c>
      <c r="E258" s="307">
        <f t="shared" ca="1" si="96"/>
        <v>-12.253938749632365</v>
      </c>
      <c r="F258" s="304">
        <f t="shared" ca="1" si="97"/>
        <v>12.302291384812461</v>
      </c>
      <c r="G258" s="306">
        <f t="shared" ca="1" si="98"/>
        <v>23.175869800451451</v>
      </c>
      <c r="H258" s="307">
        <f t="shared" ca="1" si="99"/>
        <v>50.998899854013636</v>
      </c>
      <c r="I258" s="304">
        <f t="shared" ca="1" si="100"/>
        <v>56.017932194317829</v>
      </c>
      <c r="J258" s="306">
        <f t="shared" ca="1" si="101"/>
        <v>332.30784525518692</v>
      </c>
      <c r="K258" s="307">
        <f t="shared" ca="1" si="102"/>
        <v>1348.1818750797065</v>
      </c>
      <c r="L258" s="304">
        <f t="shared" ca="1" si="87"/>
        <v>1388.5326327859848</v>
      </c>
      <c r="M258" s="306">
        <f t="shared" ca="1" si="103"/>
        <v>1.1442573760892651</v>
      </c>
      <c r="N258" s="304">
        <f t="shared" ca="1" si="104"/>
        <v>65.561118326628659</v>
      </c>
      <c r="P258" s="310">
        <f t="shared" ca="1" si="105"/>
        <v>23</v>
      </c>
      <c r="Q258" s="304">
        <f t="shared" ca="1" si="106"/>
        <v>0</v>
      </c>
      <c r="R258" s="306">
        <f t="shared" ca="1" si="107"/>
        <v>0</v>
      </c>
      <c r="S258" s="307">
        <f t="shared" ca="1" si="108"/>
        <v>2.6792999999999987</v>
      </c>
      <c r="T258" s="304">
        <f t="shared" ca="1" si="88"/>
        <v>26.283932999999987</v>
      </c>
      <c r="U258" s="311">
        <f t="shared" ca="1" si="89"/>
        <v>0</v>
      </c>
      <c r="V258" s="306">
        <f t="shared" ca="1" si="90"/>
        <v>1.0702774286225745</v>
      </c>
      <c r="W258" s="304">
        <f t="shared" ca="1" si="91"/>
        <v>6.8773857285869715</v>
      </c>
      <c r="Y258" s="314" t="str">
        <f t="shared" ca="1" si="109"/>
        <v/>
      </c>
      <c r="Z258" s="315" t="str">
        <f t="shared" ca="1" si="110"/>
        <v/>
      </c>
      <c r="AA258" s="316" t="str">
        <f t="shared" ca="1" si="111"/>
        <v/>
      </c>
      <c r="AC258" s="310" t="e">
        <f t="shared" ca="1" si="112"/>
        <v>#N/A</v>
      </c>
      <c r="AD258" s="323" t="e">
        <f t="shared" ca="1" si="113"/>
        <v>#N/A</v>
      </c>
      <c r="AE258" s="324">
        <f t="shared" ca="1" si="92"/>
        <v>1348.1818750797065</v>
      </c>
      <c r="AG258" s="306">
        <f t="shared" ca="1" si="114"/>
        <v>-11.635624839908919</v>
      </c>
      <c r="AH258" s="304">
        <f t="shared" ca="1" si="115"/>
        <v>-2.6758540784287672</v>
      </c>
    </row>
    <row r="259" spans="1:34" x14ac:dyDescent="0.2">
      <c r="A259" s="347">
        <f t="shared" ca="1" si="93"/>
        <v>0.1</v>
      </c>
      <c r="B259" s="304">
        <f t="shared" ca="1" si="94"/>
        <v>10.699999999999939</v>
      </c>
      <c r="D259" s="306">
        <f t="shared" ca="1" si="95"/>
        <v>-1.0619669665647191</v>
      </c>
      <c r="E259" s="307">
        <f t="shared" ca="1" si="96"/>
        <v>-12.146876563530306</v>
      </c>
      <c r="F259" s="304">
        <f t="shared" ca="1" si="97"/>
        <v>12.193210573418163</v>
      </c>
      <c r="G259" s="306">
        <f t="shared" ca="1" si="98"/>
        <v>23.06967310379498</v>
      </c>
      <c r="H259" s="307">
        <f t="shared" ca="1" si="99"/>
        <v>49.784212197660608</v>
      </c>
      <c r="I259" s="304">
        <f t="shared" ca="1" si="100"/>
        <v>54.869641891100954</v>
      </c>
      <c r="J259" s="306">
        <f t="shared" ca="1" si="101"/>
        <v>334.62012240039923</v>
      </c>
      <c r="K259" s="307">
        <f t="shared" ca="1" si="102"/>
        <v>1353.2210306822901</v>
      </c>
      <c r="L259" s="304">
        <f t="shared" ca="1" si="87"/>
        <v>1393.979118995725</v>
      </c>
      <c r="M259" s="306">
        <f t="shared" ca="1" si="103"/>
        <v>1.1368604750101181</v>
      </c>
      <c r="N259" s="304">
        <f t="shared" ca="1" si="104"/>
        <v>65.13730711331776</v>
      </c>
      <c r="P259" s="310">
        <f t="shared" ca="1" si="105"/>
        <v>23</v>
      </c>
      <c r="Q259" s="304">
        <f t="shared" ca="1" si="106"/>
        <v>0</v>
      </c>
      <c r="R259" s="306">
        <f t="shared" ca="1" si="107"/>
        <v>0</v>
      </c>
      <c r="S259" s="307">
        <f t="shared" ca="1" si="108"/>
        <v>2.6792999999999987</v>
      </c>
      <c r="T259" s="304">
        <f t="shared" ca="1" si="88"/>
        <v>26.283932999999987</v>
      </c>
      <c r="U259" s="311">
        <f t="shared" ca="1" si="89"/>
        <v>0</v>
      </c>
      <c r="V259" s="306">
        <f t="shared" ca="1" si="90"/>
        <v>1.0697357651378336</v>
      </c>
      <c r="W259" s="304">
        <f t="shared" ca="1" si="91"/>
        <v>6.594982341580538</v>
      </c>
      <c r="Y259" s="314" t="str">
        <f t="shared" ca="1" si="109"/>
        <v/>
      </c>
      <c r="Z259" s="315" t="str">
        <f t="shared" ca="1" si="110"/>
        <v/>
      </c>
      <c r="AA259" s="316" t="str">
        <f t="shared" ca="1" si="111"/>
        <v/>
      </c>
      <c r="AC259" s="310" t="e">
        <f t="shared" ca="1" si="112"/>
        <v>#N/A</v>
      </c>
      <c r="AD259" s="323" t="e">
        <f t="shared" ca="1" si="113"/>
        <v>#N/A</v>
      </c>
      <c r="AE259" s="324">
        <f t="shared" ca="1" si="92"/>
        <v>1353.2210306822901</v>
      </c>
      <c r="AG259" s="306">
        <f t="shared" ca="1" si="114"/>
        <v>-11.497913691597578</v>
      </c>
      <c r="AH259" s="304">
        <f t="shared" ca="1" si="115"/>
        <v>-2.5668591529828593</v>
      </c>
    </row>
    <row r="260" spans="1:34" x14ac:dyDescent="0.2">
      <c r="A260" s="347">
        <f t="shared" ca="1" si="93"/>
        <v>0.1</v>
      </c>
      <c r="B260" s="304">
        <f t="shared" ca="1" si="94"/>
        <v>10.799999999999939</v>
      </c>
      <c r="D260" s="306">
        <f t="shared" ca="1" si="95"/>
        <v>-1.0349076751894581</v>
      </c>
      <c r="E260" s="307">
        <f t="shared" ca="1" si="96"/>
        <v>-12.043324376761291</v>
      </c>
      <c r="F260" s="304">
        <f t="shared" ca="1" si="97"/>
        <v>12.087708465216176</v>
      </c>
      <c r="G260" s="306">
        <f t="shared" ca="1" si="98"/>
        <v>22.966182336276034</v>
      </c>
      <c r="H260" s="307">
        <f t="shared" ca="1" si="99"/>
        <v>48.579879759984479</v>
      </c>
      <c r="I260" s="304">
        <f t="shared" ca="1" si="100"/>
        <v>53.73500021957409</v>
      </c>
      <c r="J260" s="306">
        <f t="shared" ca="1" si="101"/>
        <v>336.92191517240275</v>
      </c>
      <c r="K260" s="307">
        <f t="shared" ca="1" si="102"/>
        <v>1358.1392352801724</v>
      </c>
      <c r="L260" s="304">
        <f t="shared" ref="L260:L323" ca="1" si="116">SQRT(pos_x^2+pos_z^2)</f>
        <v>1399.3064565458317</v>
      </c>
      <c r="M260" s="306">
        <f t="shared" ca="1" si="103"/>
        <v>1.1291846452882646</v>
      </c>
      <c r="N260" s="304">
        <f t="shared" ca="1" si="104"/>
        <v>64.697514465994473</v>
      </c>
      <c r="P260" s="310">
        <f t="shared" ca="1" si="105"/>
        <v>23</v>
      </c>
      <c r="Q260" s="304">
        <f t="shared" ca="1" si="106"/>
        <v>0</v>
      </c>
      <c r="R260" s="306">
        <f t="shared" ca="1" si="107"/>
        <v>0</v>
      </c>
      <c r="S260" s="307">
        <f t="shared" ca="1" si="108"/>
        <v>2.6792999999999987</v>
      </c>
      <c r="T260" s="304">
        <f t="shared" ref="T260:T323" ca="1" si="117">m*g</f>
        <v>26.283932999999987</v>
      </c>
      <c r="U260" s="311">
        <f t="shared" ref="U260:U323" ca="1" si="118">IF(pos_xz&lt;L_rampe,Poids*COS(Beta),0)</f>
        <v>0</v>
      </c>
      <c r="V260" s="306">
        <f t="shared" ref="V260:V323" ca="1" si="119">Rho_moyen*(20000-Alt_rampe-pos_z)/(20000+Alt_rampe+pos_z)</f>
        <v>1.0692073492554055</v>
      </c>
      <c r="W260" s="304">
        <f t="shared" ref="W260:W323" ca="1" si="120">1/2*Rho*Sref*Cx*vit_xz^2</f>
        <v>6.3219246411534558</v>
      </c>
      <c r="Y260" s="314" t="str">
        <f t="shared" ca="1" si="109"/>
        <v/>
      </c>
      <c r="Z260" s="315" t="str">
        <f t="shared" ca="1" si="110"/>
        <v/>
      </c>
      <c r="AA260" s="316" t="str">
        <f t="shared" ca="1" si="111"/>
        <v/>
      </c>
      <c r="AC260" s="310" t="e">
        <f t="shared" ca="1" si="112"/>
        <v>#N/A</v>
      </c>
      <c r="AD260" s="323" t="e">
        <f t="shared" ca="1" si="113"/>
        <v>#N/A</v>
      </c>
      <c r="AE260" s="324">
        <f t="shared" ref="AE260:AE323" ca="1" si="121">IF(t&lt;T_para, pos_z, NA())</f>
        <v>1358.1392352801724</v>
      </c>
      <c r="AG260" s="306">
        <f t="shared" ca="1" si="114"/>
        <v>-11.36224652849949</v>
      </c>
      <c r="AH260" s="304">
        <f t="shared" ca="1" si="115"/>
        <v>-2.4614572244916735</v>
      </c>
    </row>
    <row r="261" spans="1:34" x14ac:dyDescent="0.2">
      <c r="A261" s="347">
        <f t="shared" ref="A261:A324" ca="1" si="122">IF(B260+0.01&lt;=T_ini+ROUNDUP(Temps_fin_propu,0), 0.01, IF(K260&gt;0, 0.1, 0.0001))</f>
        <v>0.1</v>
      </c>
      <c r="B261" s="304">
        <f t="shared" ref="B261:B324" ca="1" si="123">B260+pas</f>
        <v>10.899999999999938</v>
      </c>
      <c r="D261" s="306">
        <f t="shared" ref="D261:D324" ca="1" si="124">IF(AND(L260&lt;L_rampe,Poussee&lt;Poids*SIN(M260)),0,(-W260+Poussee)/m*COS(M260)-U260/m*SIN(M260))</f>
        <v>-1.0084619673405164</v>
      </c>
      <c r="E261" s="307">
        <f t="shared" ref="E261:E324" ca="1" si="125">IF(AND(L260&lt;L_rampe,Poussee&lt;Poids*SIN(M260)),0,(-W260+Poussee)/m*SIN(M260)+U260/m*COS(M260)-Poids/m)</f>
        <v>-11.943178270492803</v>
      </c>
      <c r="F261" s="304">
        <f t="shared" ref="F261:F324" ca="1" si="126">SQRT(acc_x^2+acc_z^2)</f>
        <v>11.985679068803059</v>
      </c>
      <c r="G261" s="306">
        <f t="shared" ref="G261:G324" ca="1" si="127">G260+acc_x*pas</f>
        <v>22.865336139541984</v>
      </c>
      <c r="H261" s="307">
        <f t="shared" ref="H261:H324" ca="1" si="128">H260+acc_z*pas</f>
        <v>47.385561932935197</v>
      </c>
      <c r="I261" s="304">
        <f t="shared" ref="I261:I324" ca="1" si="129">SQRT(vit_x^2+vit_z^2)</f>
        <v>52.613829707352437</v>
      </c>
      <c r="J261" s="306">
        <f t="shared" ref="J261:J324" ca="1" si="130">J260+0.5*(vit_x+G260)*pas*(K260&gt;=0)</f>
        <v>339.21349109619365</v>
      </c>
      <c r="K261" s="307">
        <f t="shared" ref="K261:K324" ca="1" si="131">K260+0.5*(vit_z+H260)*pas</f>
        <v>1362.9375073648184</v>
      </c>
      <c r="L261" s="304">
        <f t="shared" ca="1" si="116"/>
        <v>1404.515732031326</v>
      </c>
      <c r="M261" s="306">
        <f t="shared" ref="M261:M324" ca="1" si="132">IF(AND(L260&gt;L_rampe,G261&gt;0),ATAN2(G261,H261),$M$4)</f>
        <v>1.121215619306362</v>
      </c>
      <c r="N261" s="304">
        <f t="shared" ref="N261:N324" ca="1" si="133">DEGREES(Beta)</f>
        <v>64.240922910401366</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2.6792999999999987</v>
      </c>
      <c r="T261" s="304">
        <f t="shared" ca="1" si="117"/>
        <v>26.283932999999987</v>
      </c>
      <c r="U261" s="311">
        <f t="shared" ca="1" si="118"/>
        <v>0</v>
      </c>
      <c r="V261" s="306">
        <f t="shared" ca="1" si="119"/>
        <v>1.0686920534972018</v>
      </c>
      <c r="W261" s="304">
        <f t="shared" ca="1" si="120"/>
        <v>6.0579443454573436</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f t="shared" ca="1" si="121"/>
        <v>1362.9375073648184</v>
      </c>
      <c r="AG261" s="306">
        <f t="shared" ref="AG261:AG324" ca="1" si="143">IF(AND(L260&lt;L_rampe,Poussee&lt;Poids*SIN(M260)),0,(-W260+Poussee)/m-Poids*SIN(M260)/m)</f>
        <v>-11.228411338760091</v>
      </c>
      <c r="AH261" s="304">
        <f t="shared" ref="AH261:AH324" ca="1" si="144">IF(AND(L260&lt;L_rampe,Poussee&lt;Poids*SIN(M260)), g*SIN(M260), (-W260+Poussee)/m)</f>
        <v>-2.3595434035581904</v>
      </c>
    </row>
    <row r="262" spans="1:34" x14ac:dyDescent="0.2">
      <c r="A262" s="347">
        <f t="shared" ca="1" si="122"/>
        <v>0.1</v>
      </c>
      <c r="B262" s="304">
        <f t="shared" ca="1" si="123"/>
        <v>10.999999999999938</v>
      </c>
      <c r="D262" s="306">
        <f t="shared" ca="1" si="124"/>
        <v>-0.98261097487735161</v>
      </c>
      <c r="E262" s="307">
        <f t="shared" ca="1" si="125"/>
        <v>-11.846338889657158</v>
      </c>
      <c r="F262" s="304">
        <f t="shared" ca="1" si="126"/>
        <v>11.887021048881548</v>
      </c>
      <c r="G262" s="306">
        <f t="shared" ca="1" si="127"/>
        <v>22.767075042054248</v>
      </c>
      <c r="H262" s="307">
        <f t="shared" ca="1" si="128"/>
        <v>46.200928043969483</v>
      </c>
      <c r="I262" s="304">
        <f t="shared" ca="1" si="129"/>
        <v>51.505974974701481</v>
      </c>
      <c r="J262" s="306">
        <f t="shared" ca="1" si="130"/>
        <v>341.49511165527343</v>
      </c>
      <c r="K262" s="307">
        <f t="shared" ca="1" si="131"/>
        <v>1367.6168318636637</v>
      </c>
      <c r="L262" s="304">
        <f t="shared" ca="1" si="116"/>
        <v>1409.6079987291687</v>
      </c>
      <c r="M262" s="306">
        <f t="shared" ca="1" si="132"/>
        <v>1.1129382176491798</v>
      </c>
      <c r="N262" s="304">
        <f t="shared" ca="1" si="133"/>
        <v>63.766662730110227</v>
      </c>
      <c r="P262" s="310">
        <f t="shared" ca="1" si="134"/>
        <v>23</v>
      </c>
      <c r="Q262" s="304">
        <f t="shared" ca="1" si="135"/>
        <v>0</v>
      </c>
      <c r="R262" s="306">
        <f t="shared" ca="1" si="136"/>
        <v>0</v>
      </c>
      <c r="S262" s="307">
        <f t="shared" ca="1" si="137"/>
        <v>2.6792999999999987</v>
      </c>
      <c r="T262" s="304">
        <f t="shared" ca="1" si="117"/>
        <v>26.283932999999987</v>
      </c>
      <c r="U262" s="311">
        <f t="shared" ca="1" si="118"/>
        <v>0</v>
      </c>
      <c r="V262" s="306">
        <f t="shared" ca="1" si="119"/>
        <v>1.0681897546445411</v>
      </c>
      <c r="W262" s="304">
        <f t="shared" ca="1" si="120"/>
        <v>5.8027853055921259</v>
      </c>
      <c r="Y262" s="314" t="str">
        <f t="shared" ca="1" si="138"/>
        <v/>
      </c>
      <c r="Z262" s="315" t="str">
        <f t="shared" ca="1" si="139"/>
        <v/>
      </c>
      <c r="AA262" s="316" t="str">
        <f t="shared" ca="1" si="140"/>
        <v/>
      </c>
      <c r="AC262" s="310">
        <f t="shared" ca="1" si="141"/>
        <v>10.999999999999938</v>
      </c>
      <c r="AD262" s="323">
        <f t="shared" ca="1" si="142"/>
        <v>341.49511165527343</v>
      </c>
      <c r="AE262" s="324">
        <f t="shared" ca="1" si="121"/>
        <v>1367.6168318636637</v>
      </c>
      <c r="AG262" s="306">
        <f t="shared" ca="1" si="143"/>
        <v>-11.09619198253834</v>
      </c>
      <c r="AH262" s="304">
        <f t="shared" ca="1" si="144"/>
        <v>-2.2610175588613992</v>
      </c>
    </row>
    <row r="263" spans="1:34" x14ac:dyDescent="0.2">
      <c r="A263" s="347">
        <f t="shared" ca="1" si="122"/>
        <v>0.1</v>
      </c>
      <c r="B263" s="304">
        <f t="shared" ca="1" si="123"/>
        <v>11.099999999999937</v>
      </c>
      <c r="D263" s="306">
        <f t="shared" ca="1" si="124"/>
        <v>-0.9573368695345057</v>
      </c>
      <c r="E263" s="307">
        <f t="shared" ca="1" si="125"/>
        <v>-11.752711206490225</v>
      </c>
      <c r="F263" s="304">
        <f t="shared" ca="1" si="126"/>
        <v>11.791637485308435</v>
      </c>
      <c r="G263" s="306">
        <f t="shared" ca="1" si="127"/>
        <v>22.671341355100797</v>
      </c>
      <c r="H263" s="307">
        <f t="shared" ca="1" si="128"/>
        <v>45.025656923320462</v>
      </c>
      <c r="I263" s="304">
        <f t="shared" ca="1" si="129"/>
        <v>50.411303298130072</v>
      </c>
      <c r="J263" s="306">
        <f t="shared" ca="1" si="130"/>
        <v>343.7670324751312</v>
      </c>
      <c r="K263" s="307">
        <f t="shared" ca="1" si="131"/>
        <v>1372.1781611120282</v>
      </c>
      <c r="L263" s="304">
        <f t="shared" ca="1" si="116"/>
        <v>1414.5842776058078</v>
      </c>
      <c r="M263" s="306">
        <f t="shared" ca="1" si="132"/>
        <v>1.1043362844776015</v>
      </c>
      <c r="N263" s="304">
        <f t="shared" ca="1" si="133"/>
        <v>63.273808263725208</v>
      </c>
      <c r="P263" s="310">
        <f t="shared" ca="1" si="134"/>
        <v>23</v>
      </c>
      <c r="Q263" s="304">
        <f t="shared" ca="1" si="135"/>
        <v>0</v>
      </c>
      <c r="R263" s="306">
        <f t="shared" ca="1" si="136"/>
        <v>0</v>
      </c>
      <c r="S263" s="307">
        <f t="shared" ca="1" si="137"/>
        <v>2.6792999999999987</v>
      </c>
      <c r="T263" s="304">
        <f t="shared" ca="1" si="117"/>
        <v>26.283932999999987</v>
      </c>
      <c r="U263" s="311">
        <f t="shared" ca="1" si="118"/>
        <v>0</v>
      </c>
      <c r="V263" s="306">
        <f t="shared" ca="1" si="119"/>
        <v>1.0677003336121571</v>
      </c>
      <c r="W263" s="304">
        <f t="shared" ca="1" si="120"/>
        <v>5.5562029266948496</v>
      </c>
      <c r="Y263" s="314" t="str">
        <f t="shared" ca="1" si="138"/>
        <v/>
      </c>
      <c r="Z263" s="315" t="str">
        <f t="shared" ca="1" si="139"/>
        <v/>
      </c>
      <c r="AA263" s="316" t="str">
        <f t="shared" ca="1" si="140"/>
        <v/>
      </c>
      <c r="AC263" s="310" t="e">
        <f t="shared" ca="1" si="141"/>
        <v>#N/A</v>
      </c>
      <c r="AD263" s="323" t="e">
        <f t="shared" ca="1" si="142"/>
        <v>#N/A</v>
      </c>
      <c r="AE263" s="324">
        <f t="shared" ca="1" si="121"/>
        <v>1372.1781611120282</v>
      </c>
      <c r="AG263" s="306">
        <f t="shared" ca="1" si="143"/>
        <v>-10.965367132633324</v>
      </c>
      <c r="AH263" s="304">
        <f t="shared" ca="1" si="144"/>
        <v>-2.1657840874825993</v>
      </c>
    </row>
    <row r="264" spans="1:34" x14ac:dyDescent="0.2">
      <c r="A264" s="347">
        <f t="shared" ca="1" si="122"/>
        <v>0.1</v>
      </c>
      <c r="B264" s="304">
        <f t="shared" ca="1" si="123"/>
        <v>11.199999999999937</v>
      </c>
      <c r="D264" s="306">
        <f t="shared" ca="1" si="124"/>
        <v>-0.93262283603378249</v>
      </c>
      <c r="E264" s="307">
        <f t="shared" ca="1" si="125"/>
        <v>-11.662204296004901</v>
      </c>
      <c r="F264" s="304">
        <f t="shared" ca="1" si="126"/>
        <v>11.699435644339726</v>
      </c>
      <c r="G264" s="306">
        <f t="shared" ca="1" si="127"/>
        <v>22.57807907149742</v>
      </c>
      <c r="H264" s="307">
        <f t="shared" ca="1" si="128"/>
        <v>43.859436493719969</v>
      </c>
      <c r="I264" s="304">
        <f t="shared" ca="1" si="129"/>
        <v>49.329705291086469</v>
      </c>
      <c r="J264" s="306">
        <f t="shared" ca="1" si="130"/>
        <v>346.02950349646113</v>
      </c>
      <c r="K264" s="307">
        <f t="shared" ca="1" si="131"/>
        <v>1376.6224157828801</v>
      </c>
      <c r="L264" s="304">
        <f t="shared" ca="1" si="116"/>
        <v>1419.4455582817893</v>
      </c>
      <c r="M264" s="306">
        <f t="shared" ca="1" si="132"/>
        <v>1.0953926185879133</v>
      </c>
      <c r="N264" s="304">
        <f t="shared" ca="1" si="133"/>
        <v>62.761373954870962</v>
      </c>
      <c r="P264" s="310">
        <f t="shared" ca="1" si="134"/>
        <v>23</v>
      </c>
      <c r="Q264" s="304">
        <f t="shared" ca="1" si="135"/>
        <v>0</v>
      </c>
      <c r="R264" s="306">
        <f t="shared" ca="1" si="136"/>
        <v>0</v>
      </c>
      <c r="S264" s="307">
        <f t="shared" ca="1" si="137"/>
        <v>2.6792999999999987</v>
      </c>
      <c r="T264" s="304">
        <f t="shared" ca="1" si="117"/>
        <v>26.283932999999987</v>
      </c>
      <c r="U264" s="311">
        <f t="shared" ca="1" si="118"/>
        <v>0</v>
      </c>
      <c r="V264" s="306">
        <f t="shared" ca="1" si="119"/>
        <v>1.0672236753277782</v>
      </c>
      <c r="W264" s="304">
        <f t="shared" ca="1" si="120"/>
        <v>5.3179636230689376</v>
      </c>
      <c r="Y264" s="314" t="str">
        <f t="shared" ca="1" si="138"/>
        <v/>
      </c>
      <c r="Z264" s="315" t="str">
        <f t="shared" ca="1" si="139"/>
        <v/>
      </c>
      <c r="AA264" s="316" t="str">
        <f t="shared" ca="1" si="140"/>
        <v/>
      </c>
      <c r="AC264" s="310" t="e">
        <f t="shared" ca="1" si="141"/>
        <v>#N/A</v>
      </c>
      <c r="AD264" s="323" t="e">
        <f t="shared" ca="1" si="142"/>
        <v>#N/A</v>
      </c>
      <c r="AE264" s="324">
        <f t="shared" ca="1" si="121"/>
        <v>1376.6224157828801</v>
      </c>
      <c r="AG264" s="306">
        <f t="shared" ca="1" si="143"/>
        <v>-10.835709147260566</v>
      </c>
      <c r="AH264" s="304">
        <f t="shared" ca="1" si="144"/>
        <v>-2.0737516988373277</v>
      </c>
    </row>
    <row r="265" spans="1:34" x14ac:dyDescent="0.2">
      <c r="A265" s="347">
        <f t="shared" ca="1" si="122"/>
        <v>0.1</v>
      </c>
      <c r="B265" s="304">
        <f t="shared" ca="1" si="123"/>
        <v>11.299999999999937</v>
      </c>
      <c r="D265" s="306">
        <f t="shared" ca="1" si="124"/>
        <v>-0.90845304921859893</v>
      </c>
      <c r="E265" s="307">
        <f t="shared" ca="1" si="125"/>
        <v>-11.574731122322483</v>
      </c>
      <c r="F265" s="304">
        <f t="shared" ca="1" si="126"/>
        <v>11.610326760978575</v>
      </c>
      <c r="G265" s="306">
        <f t="shared" ca="1" si="127"/>
        <v>22.48723376657556</v>
      </c>
      <c r="H265" s="307">
        <f t="shared" ca="1" si="128"/>
        <v>42.701963381487722</v>
      </c>
      <c r="I265" s="304">
        <f t="shared" ca="1" si="129"/>
        <v>48.261095709759168</v>
      </c>
      <c r="J265" s="306">
        <f t="shared" ca="1" si="130"/>
        <v>348.28276913836476</v>
      </c>
      <c r="K265" s="307">
        <f t="shared" ca="1" si="131"/>
        <v>1380.9504857766406</v>
      </c>
      <c r="L265" s="304">
        <f t="shared" ca="1" si="116"/>
        <v>1424.1927999556194</v>
      </c>
      <c r="M265" s="306">
        <f t="shared" ca="1" si="132"/>
        <v>1.0860889000420983</v>
      </c>
      <c r="N265" s="304">
        <f t="shared" ca="1" si="133"/>
        <v>62.228310148418174</v>
      </c>
      <c r="P265" s="310">
        <f t="shared" ca="1" si="134"/>
        <v>23</v>
      </c>
      <c r="Q265" s="304">
        <f t="shared" ca="1" si="135"/>
        <v>0</v>
      </c>
      <c r="R265" s="306">
        <f t="shared" ca="1" si="136"/>
        <v>0</v>
      </c>
      <c r="S265" s="307">
        <f t="shared" ca="1" si="137"/>
        <v>2.6792999999999987</v>
      </c>
      <c r="T265" s="304">
        <f t="shared" ca="1" si="117"/>
        <v>26.283932999999987</v>
      </c>
      <c r="U265" s="311">
        <f t="shared" ca="1" si="118"/>
        <v>0</v>
      </c>
      <c r="V265" s="306">
        <f t="shared" ca="1" si="119"/>
        <v>1.066759668617002</v>
      </c>
      <c r="W265" s="304">
        <f t="shared" ca="1" si="120"/>
        <v>5.0878443051164473</v>
      </c>
      <c r="Y265" s="314" t="str">
        <f t="shared" ca="1" si="138"/>
        <v/>
      </c>
      <c r="Z265" s="315" t="str">
        <f t="shared" ca="1" si="139"/>
        <v/>
      </c>
      <c r="AA265" s="316" t="str">
        <f t="shared" ca="1" si="140"/>
        <v/>
      </c>
      <c r="AC265" s="310" t="e">
        <f t="shared" ca="1" si="141"/>
        <v>#N/A</v>
      </c>
      <c r="AD265" s="323" t="e">
        <f t="shared" ca="1" si="142"/>
        <v>#N/A</v>
      </c>
      <c r="AE265" s="324">
        <f t="shared" ca="1" si="121"/>
        <v>1380.9504857766406</v>
      </c>
      <c r="AG265" s="306">
        <f t="shared" ca="1" si="143"/>
        <v>-10.706982866666841</v>
      </c>
      <c r="AH265" s="304">
        <f t="shared" ca="1" si="144"/>
        <v>-1.9848332113122606</v>
      </c>
    </row>
    <row r="266" spans="1:34" x14ac:dyDescent="0.2">
      <c r="A266" s="347">
        <f t="shared" ca="1" si="122"/>
        <v>0.1</v>
      </c>
      <c r="B266" s="304">
        <f t="shared" ca="1" si="123"/>
        <v>11.399999999999936</v>
      </c>
      <c r="D266" s="306">
        <f t="shared" ca="1" si="124"/>
        <v>-0.88481265519629193</v>
      </c>
      <c r="E266" s="307">
        <f t="shared" ca="1" si="125"/>
        <v>-11.490208334821023</v>
      </c>
      <c r="F266" s="304">
        <f t="shared" ca="1" si="126"/>
        <v>11.524225831368717</v>
      </c>
      <c r="G266" s="306">
        <f t="shared" ca="1" si="127"/>
        <v>22.398752501055931</v>
      </c>
      <c r="H266" s="307">
        <f t="shared" ca="1" si="128"/>
        <v>41.552942548005618</v>
      </c>
      <c r="I266" s="304">
        <f t="shared" ca="1" si="129"/>
        <v>47.205414392857676</v>
      </c>
      <c r="J266" s="306">
        <f t="shared" ca="1" si="130"/>
        <v>350.52706845174635</v>
      </c>
      <c r="K266" s="307">
        <f t="shared" ca="1" si="131"/>
        <v>1385.1632310731152</v>
      </c>
      <c r="L266" s="304">
        <f t="shared" ca="1" si="116"/>
        <v>1428.8269322889626</v>
      </c>
      <c r="M266" s="306">
        <f t="shared" ca="1" si="132"/>
        <v>1.0764056123101466</v>
      </c>
      <c r="N266" s="304">
        <f t="shared" ca="1" si="133"/>
        <v>61.673498629566531</v>
      </c>
      <c r="P266" s="310">
        <f t="shared" ca="1" si="134"/>
        <v>23</v>
      </c>
      <c r="Q266" s="304">
        <f t="shared" ca="1" si="135"/>
        <v>0</v>
      </c>
      <c r="R266" s="306">
        <f t="shared" ca="1" si="136"/>
        <v>0</v>
      </c>
      <c r="S266" s="307">
        <f t="shared" ca="1" si="137"/>
        <v>2.6792999999999987</v>
      </c>
      <c r="T266" s="304">
        <f t="shared" ca="1" si="117"/>
        <v>26.283932999999987</v>
      </c>
      <c r="U266" s="311">
        <f t="shared" ca="1" si="118"/>
        <v>0</v>
      </c>
      <c r="V266" s="306">
        <f t="shared" ca="1" si="119"/>
        <v>1.0663082060931814</v>
      </c>
      <c r="W266" s="304">
        <f t="shared" ca="1" si="120"/>
        <v>4.8656318959966791</v>
      </c>
      <c r="Y266" s="314" t="str">
        <f t="shared" ca="1" si="138"/>
        <v/>
      </c>
      <c r="Z266" s="315" t="str">
        <f t="shared" ca="1" si="139"/>
        <v/>
      </c>
      <c r="AA266" s="316" t="str">
        <f t="shared" ca="1" si="140"/>
        <v/>
      </c>
      <c r="AC266" s="310" t="e">
        <f t="shared" ca="1" si="141"/>
        <v>#N/A</v>
      </c>
      <c r="AD266" s="323" t="e">
        <f t="shared" ca="1" si="142"/>
        <v>#N/A</v>
      </c>
      <c r="AE266" s="324">
        <f t="shared" ca="1" si="121"/>
        <v>1385.1632310731152</v>
      </c>
      <c r="AG266" s="306">
        <f t="shared" ca="1" si="143"/>
        <v>-10.578944324982949</v>
      </c>
      <c r="AH266" s="304">
        <f t="shared" ca="1" si="144"/>
        <v>-1.8989453607720113</v>
      </c>
    </row>
    <row r="267" spans="1:34" x14ac:dyDescent="0.2">
      <c r="A267" s="347">
        <f t="shared" ca="1" si="122"/>
        <v>0.1</v>
      </c>
      <c r="B267" s="304">
        <f t="shared" ca="1" si="123"/>
        <v>11.499999999999936</v>
      </c>
      <c r="D267" s="306">
        <f t="shared" ca="1" si="124"/>
        <v>-0.86168775649852225</v>
      </c>
      <c r="E267" s="307">
        <f t="shared" ca="1" si="125"/>
        <v>-11.408556073085544</v>
      </c>
      <c r="F267" s="304">
        <f t="shared" ca="1" si="126"/>
        <v>11.441051414203002</v>
      </c>
      <c r="G267" s="306">
        <f t="shared" ca="1" si="127"/>
        <v>22.312583725406078</v>
      </c>
      <c r="H267" s="307">
        <f t="shared" ca="1" si="128"/>
        <v>40.412086940697066</v>
      </c>
      <c r="I267" s="304">
        <f t="shared" ca="1" si="129"/>
        <v>46.162627345134013</v>
      </c>
      <c r="J267" s="306">
        <f t="shared" ca="1" si="130"/>
        <v>352.76263526306946</v>
      </c>
      <c r="K267" s="307">
        <f t="shared" ca="1" si="131"/>
        <v>1389.2614825475503</v>
      </c>
      <c r="L267" s="304">
        <f t="shared" ca="1" si="116"/>
        <v>1433.3488562551556</v>
      </c>
      <c r="M267" s="306">
        <f t="shared" ca="1" si="132"/>
        <v>1.0663219599416203</v>
      </c>
      <c r="N267" s="304">
        <f t="shared" ca="1" si="133"/>
        <v>61.095747906772878</v>
      </c>
      <c r="P267" s="310">
        <f t="shared" ca="1" si="134"/>
        <v>23</v>
      </c>
      <c r="Q267" s="304">
        <f t="shared" ca="1" si="135"/>
        <v>0</v>
      </c>
      <c r="R267" s="306">
        <f t="shared" ca="1" si="136"/>
        <v>0</v>
      </c>
      <c r="S267" s="307">
        <f t="shared" ca="1" si="137"/>
        <v>2.6792999999999987</v>
      </c>
      <c r="T267" s="304">
        <f t="shared" ca="1" si="117"/>
        <v>26.283932999999987</v>
      </c>
      <c r="U267" s="311">
        <f t="shared" ca="1" si="118"/>
        <v>0</v>
      </c>
      <c r="V267" s="306">
        <f t="shared" ca="1" si="119"/>
        <v>1.0658691840520667</v>
      </c>
      <c r="W267" s="304">
        <f t="shared" ca="1" si="120"/>
        <v>4.6511228760818488</v>
      </c>
      <c r="Y267" s="314" t="str">
        <f t="shared" ca="1" si="138"/>
        <v/>
      </c>
      <c r="Z267" s="315" t="str">
        <f t="shared" ca="1" si="139"/>
        <v/>
      </c>
      <c r="AA267" s="316" t="str">
        <f t="shared" ca="1" si="140"/>
        <v/>
      </c>
      <c r="AC267" s="310" t="e">
        <f t="shared" ca="1" si="141"/>
        <v>#N/A</v>
      </c>
      <c r="AD267" s="323" t="e">
        <f t="shared" ca="1" si="142"/>
        <v>#N/A</v>
      </c>
      <c r="AE267" s="324">
        <f t="shared" ca="1" si="121"/>
        <v>1389.2614825475503</v>
      </c>
      <c r="AG267" s="306">
        <f t="shared" ca="1" si="143"/>
        <v>-10.451339368525311</v>
      </c>
      <c r="AH267" s="304">
        <f t="shared" ca="1" si="144"/>
        <v>-1.8160086201607439</v>
      </c>
    </row>
    <row r="268" spans="1:34" x14ac:dyDescent="0.2">
      <c r="A268" s="347">
        <f t="shared" ca="1" si="122"/>
        <v>0.1</v>
      </c>
      <c r="B268" s="304">
        <f t="shared" ca="1" si="123"/>
        <v>11.599999999999936</v>
      </c>
      <c r="D268" s="306">
        <f t="shared" ca="1" si="124"/>
        <v>-0.83906540129355889</v>
      </c>
      <c r="E268" s="307">
        <f t="shared" ca="1" si="125"/>
        <v>-11.329697779661288</v>
      </c>
      <c r="F268" s="304">
        <f t="shared" ca="1" si="126"/>
        <v>11.360725440134086</v>
      </c>
      <c r="G268" s="306">
        <f t="shared" ca="1" si="127"/>
        <v>22.228677185276723</v>
      </c>
      <c r="H268" s="307">
        <f t="shared" ca="1" si="128"/>
        <v>39.279117162730934</v>
      </c>
      <c r="I268" s="304">
        <f t="shared" ca="1" si="129"/>
        <v>45.132727975281817</v>
      </c>
      <c r="J268" s="306">
        <f t="shared" ca="1" si="130"/>
        <v>354.98969830860358</v>
      </c>
      <c r="K268" s="307">
        <f t="shared" ca="1" si="131"/>
        <v>1393.2460427527217</v>
      </c>
      <c r="L268" s="304">
        <f t="shared" ca="1" si="116"/>
        <v>1437.7594449529281</v>
      </c>
      <c r="M268" s="306">
        <f t="shared" ca="1" si="132"/>
        <v>1.0558157818865201</v>
      </c>
      <c r="N268" s="304">
        <f t="shared" ca="1" si="133"/>
        <v>60.493788245402676</v>
      </c>
      <c r="P268" s="310">
        <f t="shared" ca="1" si="134"/>
        <v>23</v>
      </c>
      <c r="Q268" s="304">
        <f t="shared" ca="1" si="135"/>
        <v>0</v>
      </c>
      <c r="R268" s="306">
        <f t="shared" ca="1" si="136"/>
        <v>0</v>
      </c>
      <c r="S268" s="307">
        <f t="shared" ca="1" si="137"/>
        <v>2.6792999999999987</v>
      </c>
      <c r="T268" s="304">
        <f t="shared" ca="1" si="117"/>
        <v>26.283932999999987</v>
      </c>
      <c r="U268" s="311">
        <f t="shared" ca="1" si="118"/>
        <v>0</v>
      </c>
      <c r="V268" s="306">
        <f t="shared" ca="1" si="119"/>
        <v>1.0654425023709515</v>
      </c>
      <c r="W268" s="304">
        <f t="shared" ca="1" si="120"/>
        <v>4.4441228534149362</v>
      </c>
      <c r="Y268" s="314" t="str">
        <f t="shared" ca="1" si="138"/>
        <v/>
      </c>
      <c r="Z268" s="315" t="str">
        <f t="shared" ca="1" si="139"/>
        <v/>
      </c>
      <c r="AA268" s="316" t="str">
        <f t="shared" ca="1" si="140"/>
        <v/>
      </c>
      <c r="AC268" s="310" t="e">
        <f t="shared" ca="1" si="141"/>
        <v>#N/A</v>
      </c>
      <c r="AD268" s="323" t="e">
        <f t="shared" ca="1" si="142"/>
        <v>#N/A</v>
      </c>
      <c r="AE268" s="324">
        <f t="shared" ca="1" si="121"/>
        <v>1393.2460427527217</v>
      </c>
      <c r="AG268" s="306">
        <f t="shared" ca="1" si="143"/>
        <v>-10.323902171724729</v>
      </c>
      <c r="AH268" s="304">
        <f t="shared" ca="1" si="144"/>
        <v>-1.7359470294785395</v>
      </c>
    </row>
    <row r="269" spans="1:34" x14ac:dyDescent="0.2">
      <c r="A269" s="347">
        <f t="shared" ca="1" si="122"/>
        <v>0.1</v>
      </c>
      <c r="B269" s="304">
        <f t="shared" ca="1" si="123"/>
        <v>11.699999999999935</v>
      </c>
      <c r="D269" s="306">
        <f t="shared" ca="1" si="124"/>
        <v>-0.81693357670673128</v>
      </c>
      <c r="E269" s="307">
        <f t="shared" ca="1" si="125"/>
        <v>-11.253560019616753</v>
      </c>
      <c r="F269" s="304">
        <f t="shared" ca="1" si="126"/>
        <v>11.283173028180835</v>
      </c>
      <c r="G269" s="306">
        <f t="shared" ca="1" si="127"/>
        <v>22.14698382760605</v>
      </c>
      <c r="H269" s="307">
        <f t="shared" ca="1" si="128"/>
        <v>38.153761160769257</v>
      </c>
      <c r="I269" s="304">
        <f t="shared" ca="1" si="129"/>
        <v>44.115738499692696</v>
      </c>
      <c r="J269" s="306">
        <f t="shared" ca="1" si="130"/>
        <v>357.20848135924774</v>
      </c>
      <c r="K269" s="307">
        <f t="shared" ca="1" si="131"/>
        <v>1397.1176866688968</v>
      </c>
      <c r="L269" s="304">
        <f t="shared" ca="1" si="116"/>
        <v>1442.0595443871343</v>
      </c>
      <c r="M269" s="306">
        <f t="shared" ca="1" si="132"/>
        <v>1.044863460721777</v>
      </c>
      <c r="N269" s="304">
        <f t="shared" ca="1" si="133"/>
        <v>59.866266466791089</v>
      </c>
      <c r="P269" s="310">
        <f t="shared" ca="1" si="134"/>
        <v>23</v>
      </c>
      <c r="Q269" s="304">
        <f t="shared" ca="1" si="135"/>
        <v>0</v>
      </c>
      <c r="R269" s="306">
        <f t="shared" ca="1" si="136"/>
        <v>0</v>
      </c>
      <c r="S269" s="307">
        <f t="shared" ca="1" si="137"/>
        <v>2.6792999999999987</v>
      </c>
      <c r="T269" s="304">
        <f t="shared" ca="1" si="117"/>
        <v>26.283932999999987</v>
      </c>
      <c r="U269" s="311">
        <f t="shared" ca="1" si="118"/>
        <v>0</v>
      </c>
      <c r="V269" s="306">
        <f t="shared" ca="1" si="119"/>
        <v>1.0650280644120866</v>
      </c>
      <c r="W269" s="304">
        <f t="shared" ca="1" si="120"/>
        <v>4.2444461584982633</v>
      </c>
      <c r="Y269" s="314" t="str">
        <f t="shared" ca="1" si="138"/>
        <v/>
      </c>
      <c r="Z269" s="315" t="str">
        <f t="shared" ca="1" si="139"/>
        <v/>
      </c>
      <c r="AA269" s="316" t="str">
        <f t="shared" ca="1" si="140"/>
        <v/>
      </c>
      <c r="AC269" s="310" t="e">
        <f t="shared" ca="1" si="141"/>
        <v>#N/A</v>
      </c>
      <c r="AD269" s="323" t="e">
        <f t="shared" ca="1" si="142"/>
        <v>#N/A</v>
      </c>
      <c r="AE269" s="324">
        <f t="shared" ca="1" si="121"/>
        <v>1397.1176866688968</v>
      </c>
      <c r="AG269" s="306">
        <f t="shared" ca="1" si="143"/>
        <v>-10.196353642058016</v>
      </c>
      <c r="AH269" s="304">
        <f t="shared" ca="1" si="144"/>
        <v>-1.6586880354625979</v>
      </c>
    </row>
    <row r="270" spans="1:34" x14ac:dyDescent="0.2">
      <c r="A270" s="347">
        <f t="shared" ca="1" si="122"/>
        <v>0.1</v>
      </c>
      <c r="B270" s="304">
        <f t="shared" ca="1" si="123"/>
        <v>11.799999999999935</v>
      </c>
      <c r="D270" s="306">
        <f t="shared" ca="1" si="124"/>
        <v>-0.79528120632653776</v>
      </c>
      <c r="E270" s="307">
        <f t="shared" ca="1" si="125"/>
        <v>-11.180072305918646</v>
      </c>
      <c r="F270" s="304">
        <f t="shared" ca="1" si="126"/>
        <v>11.208322308120215</v>
      </c>
      <c r="G270" s="306">
        <f t="shared" ca="1" si="127"/>
        <v>22.067455706973398</v>
      </c>
      <c r="H270" s="307">
        <f t="shared" ca="1" si="128"/>
        <v>37.035753930177393</v>
      </c>
      <c r="I270" s="304">
        <f t="shared" ca="1" si="129"/>
        <v>43.111711524316483</v>
      </c>
      <c r="J270" s="306">
        <f t="shared" ca="1" si="130"/>
        <v>359.4192033359767</v>
      </c>
      <c r="K270" s="307">
        <f t="shared" ca="1" si="131"/>
        <v>1400.8771624234441</v>
      </c>
      <c r="L270" s="304">
        <f t="shared" ca="1" si="116"/>
        <v>1446.2499742182292</v>
      </c>
      <c r="M270" s="306">
        <f t="shared" ca="1" si="132"/>
        <v>1.0334398282179265</v>
      </c>
      <c r="N270" s="304">
        <f t="shared" ca="1" si="133"/>
        <v>59.211740537611988</v>
      </c>
      <c r="P270" s="310">
        <f t="shared" ca="1" si="134"/>
        <v>23</v>
      </c>
      <c r="Q270" s="304">
        <f t="shared" ca="1" si="135"/>
        <v>0</v>
      </c>
      <c r="R270" s="306">
        <f t="shared" ca="1" si="136"/>
        <v>0</v>
      </c>
      <c r="S270" s="307">
        <f t="shared" ca="1" si="137"/>
        <v>2.6792999999999987</v>
      </c>
      <c r="T270" s="304">
        <f t="shared" ca="1" si="117"/>
        <v>26.283932999999987</v>
      </c>
      <c r="U270" s="311">
        <f t="shared" ca="1" si="118"/>
        <v>0</v>
      </c>
      <c r="V270" s="306">
        <f t="shared" ca="1" si="119"/>
        <v>1.0646257769301277</v>
      </c>
      <c r="W270" s="304">
        <f t="shared" ca="1" si="120"/>
        <v>4.0519154618535485</v>
      </c>
      <c r="Y270" s="314" t="str">
        <f t="shared" ca="1" si="138"/>
        <v/>
      </c>
      <c r="Z270" s="315" t="str">
        <f t="shared" ca="1" si="139"/>
        <v/>
      </c>
      <c r="AA270" s="316" t="str">
        <f t="shared" ca="1" si="140"/>
        <v/>
      </c>
      <c r="AC270" s="310" t="e">
        <f t="shared" ca="1" si="141"/>
        <v>#N/A</v>
      </c>
      <c r="AD270" s="323" t="e">
        <f t="shared" ca="1" si="142"/>
        <v>#N/A</v>
      </c>
      <c r="AE270" s="324">
        <f t="shared" ca="1" si="121"/>
        <v>1400.8771624234441</v>
      </c>
      <c r="AG270" s="306">
        <f t="shared" ca="1" si="143"/>
        <v>-10.068399705881783</v>
      </c>
      <c r="AH270" s="304">
        <f t="shared" ca="1" si="144"/>
        <v>-1.584162340349444</v>
      </c>
    </row>
    <row r="271" spans="1:34" x14ac:dyDescent="0.2">
      <c r="A271" s="347">
        <f t="shared" ca="1" si="122"/>
        <v>0.1</v>
      </c>
      <c r="B271" s="304">
        <f t="shared" ca="1" si="123"/>
        <v>11.899999999999935</v>
      </c>
      <c r="D271" s="306">
        <f t="shared" ca="1" si="124"/>
        <v>-0.77409815199295762</v>
      </c>
      <c r="E271" s="307">
        <f t="shared" ca="1" si="125"/>
        <v>-11.109166929604696</v>
      </c>
      <c r="F271" s="304">
        <f t="shared" ca="1" si="126"/>
        <v>11.136104247839166</v>
      </c>
      <c r="G271" s="306">
        <f t="shared" ca="1" si="127"/>
        <v>21.990045891774102</v>
      </c>
      <c r="H271" s="307">
        <f t="shared" ca="1" si="128"/>
        <v>35.92483723721692</v>
      </c>
      <c r="I271" s="304">
        <f t="shared" ca="1" si="129"/>
        <v>42.120731817513075</v>
      </c>
      <c r="J271" s="306">
        <f t="shared" ca="1" si="130"/>
        <v>361.62207841591407</v>
      </c>
      <c r="K271" s="307">
        <f t="shared" ca="1" si="131"/>
        <v>1404.5251919818138</v>
      </c>
      <c r="L271" s="304">
        <f t="shared" ca="1" si="116"/>
        <v>1450.3315284821592</v>
      </c>
      <c r="M271" s="306">
        <f t="shared" ca="1" si="132"/>
        <v>1.0215180679110187</v>
      </c>
      <c r="N271" s="304">
        <f t="shared" ca="1" si="133"/>
        <v>58.528673987659587</v>
      </c>
      <c r="P271" s="310">
        <f t="shared" ca="1" si="134"/>
        <v>23</v>
      </c>
      <c r="Q271" s="304">
        <f t="shared" ca="1" si="135"/>
        <v>0</v>
      </c>
      <c r="R271" s="306">
        <f t="shared" ca="1" si="136"/>
        <v>0</v>
      </c>
      <c r="S271" s="307">
        <f t="shared" ca="1" si="137"/>
        <v>2.6792999999999987</v>
      </c>
      <c r="T271" s="304">
        <f t="shared" ca="1" si="117"/>
        <v>26.283932999999987</v>
      </c>
      <c r="U271" s="311">
        <f t="shared" ca="1" si="118"/>
        <v>0</v>
      </c>
      <c r="V271" s="306">
        <f t="shared" ca="1" si="119"/>
        <v>1.0642355499833986</v>
      </c>
      <c r="W271" s="304">
        <f t="shared" ca="1" si="120"/>
        <v>3.8663614128969086</v>
      </c>
      <c r="Y271" s="314" t="str">
        <f t="shared" ca="1" si="138"/>
        <v/>
      </c>
      <c r="Z271" s="315" t="str">
        <f t="shared" ca="1" si="139"/>
        <v/>
      </c>
      <c r="AA271" s="316" t="str">
        <f t="shared" ca="1" si="140"/>
        <v/>
      </c>
      <c r="AC271" s="310" t="e">
        <f t="shared" ca="1" si="141"/>
        <v>#N/A</v>
      </c>
      <c r="AD271" s="323" t="e">
        <f t="shared" ca="1" si="142"/>
        <v>#N/A</v>
      </c>
      <c r="AE271" s="324">
        <f t="shared" ca="1" si="121"/>
        <v>1404.5251919818138</v>
      </c>
      <c r="AG271" s="306">
        <f t="shared" ca="1" si="143"/>
        <v>-9.9397294680439447</v>
      </c>
      <c r="AH271" s="304">
        <f t="shared" ca="1" si="144"/>
        <v>-1.5123037591361739</v>
      </c>
    </row>
    <row r="272" spans="1:34" x14ac:dyDescent="0.2">
      <c r="A272" s="347">
        <f t="shared" ca="1" si="122"/>
        <v>0.1</v>
      </c>
      <c r="B272" s="304">
        <f t="shared" ca="1" si="123"/>
        <v>11.999999999999934</v>
      </c>
      <c r="D272" s="306">
        <f t="shared" ca="1" si="124"/>
        <v>-0.7533752199807997</v>
      </c>
      <c r="E272" s="307">
        <f t="shared" ca="1" si="125"/>
        <v>-11.040778793712613</v>
      </c>
      <c r="F272" s="304">
        <f t="shared" ca="1" si="126"/>
        <v>11.066452484593935</v>
      </c>
      <c r="G272" s="306">
        <f t="shared" ca="1" si="127"/>
        <v>21.914708369776022</v>
      </c>
      <c r="H272" s="307">
        <f t="shared" ca="1" si="128"/>
        <v>34.82075935784566</v>
      </c>
      <c r="I272" s="304">
        <f t="shared" ca="1" si="129"/>
        <v>41.142918287225655</v>
      </c>
      <c r="J272" s="306">
        <f t="shared" ca="1" si="130"/>
        <v>363.81731612899159</v>
      </c>
      <c r="K272" s="307">
        <f t="shared" ca="1" si="131"/>
        <v>1408.0624718115669</v>
      </c>
      <c r="L272" s="304">
        <f t="shared" ca="1" si="116"/>
        <v>1454.3049762822798</v>
      </c>
      <c r="M272" s="306">
        <f t="shared" ca="1" si="132"/>
        <v>1.0090696156400023</v>
      </c>
      <c r="N272" s="304">
        <f t="shared" ca="1" si="133"/>
        <v>57.815430211060296</v>
      </c>
      <c r="P272" s="310">
        <f t="shared" ca="1" si="134"/>
        <v>23</v>
      </c>
      <c r="Q272" s="304">
        <f t="shared" ca="1" si="135"/>
        <v>0</v>
      </c>
      <c r="R272" s="306">
        <f t="shared" ca="1" si="136"/>
        <v>0</v>
      </c>
      <c r="S272" s="307">
        <f t="shared" ca="1" si="137"/>
        <v>2.6792999999999987</v>
      </c>
      <c r="T272" s="304">
        <f t="shared" ca="1" si="117"/>
        <v>26.283932999999987</v>
      </c>
      <c r="U272" s="311">
        <f t="shared" ca="1" si="118"/>
        <v>0</v>
      </c>
      <c r="V272" s="306">
        <f t="shared" ca="1" si="119"/>
        <v>1.0638572968487601</v>
      </c>
      <c r="W272" s="304">
        <f t="shared" ca="1" si="120"/>
        <v>3.6876222987656275</v>
      </c>
      <c r="Y272" s="314" t="str">
        <f t="shared" ca="1" si="138"/>
        <v/>
      </c>
      <c r="Z272" s="315" t="str">
        <f t="shared" ca="1" si="139"/>
        <v/>
      </c>
      <c r="AA272" s="316" t="str">
        <f t="shared" ca="1" si="140"/>
        <v/>
      </c>
      <c r="AC272" s="310">
        <f t="shared" ca="1" si="141"/>
        <v>11.999999999999934</v>
      </c>
      <c r="AD272" s="323">
        <f t="shared" ca="1" si="142"/>
        <v>363.81731612899159</v>
      </c>
      <c r="AE272" s="324">
        <f t="shared" ca="1" si="121"/>
        <v>1408.0624718115669</v>
      </c>
      <c r="AG272" s="306">
        <f t="shared" ca="1" si="143"/>
        <v>-9.8100132397400888</v>
      </c>
      <c r="AH272" s="304">
        <f t="shared" ca="1" si="144"/>
        <v>-1.4430490847971151</v>
      </c>
    </row>
    <row r="273" spans="1:34" x14ac:dyDescent="0.2">
      <c r="A273" s="347">
        <f t="shared" ca="1" si="122"/>
        <v>0.1</v>
      </c>
      <c r="B273" s="304">
        <f t="shared" ca="1" si="123"/>
        <v>12.099999999999934</v>
      </c>
      <c r="D273" s="306">
        <f t="shared" ca="1" si="124"/>
        <v>-0.73310417170318554</v>
      </c>
      <c r="E273" s="307">
        <f t="shared" ca="1" si="125"/>
        <v>-10.974845249883209</v>
      </c>
      <c r="F273" s="304">
        <f t="shared" ca="1" si="126"/>
        <v>10.999303159084791</v>
      </c>
      <c r="G273" s="306">
        <f t="shared" ca="1" si="127"/>
        <v>21.841397952605703</v>
      </c>
      <c r="H273" s="307">
        <f t="shared" ca="1" si="128"/>
        <v>33.723274832857342</v>
      </c>
      <c r="I273" s="304">
        <f t="shared" ca="1" si="129"/>
        <v>40.178426175953156</v>
      </c>
      <c r="J273" s="306">
        <f t="shared" ca="1" si="130"/>
        <v>366.00512144511066</v>
      </c>
      <c r="K273" s="307">
        <f t="shared" ca="1" si="131"/>
        <v>1411.4896735211021</v>
      </c>
      <c r="L273" s="304">
        <f t="shared" ca="1" si="116"/>
        <v>1458.1710624548675</v>
      </c>
      <c r="M273" s="306">
        <f t="shared" ca="1" si="132"/>
        <v>0.99606405938458009</v>
      </c>
      <c r="N273" s="304">
        <f t="shared" ca="1" si="133"/>
        <v>57.070266727404636</v>
      </c>
      <c r="P273" s="310">
        <f t="shared" ca="1" si="134"/>
        <v>23</v>
      </c>
      <c r="Q273" s="304">
        <f t="shared" ca="1" si="135"/>
        <v>0</v>
      </c>
      <c r="R273" s="306">
        <f t="shared" ca="1" si="136"/>
        <v>0</v>
      </c>
      <c r="S273" s="307">
        <f t="shared" ca="1" si="137"/>
        <v>2.6792999999999987</v>
      </c>
      <c r="T273" s="304">
        <f t="shared" ca="1" si="117"/>
        <v>26.283932999999987</v>
      </c>
      <c r="U273" s="311">
        <f t="shared" ca="1" si="118"/>
        <v>0</v>
      </c>
      <c r="V273" s="306">
        <f t="shared" ca="1" si="119"/>
        <v>1.0634909339398615</v>
      </c>
      <c r="W273" s="304">
        <f t="shared" ca="1" si="120"/>
        <v>3.5155437218181471</v>
      </c>
      <c r="Y273" s="314" t="str">
        <f t="shared" ca="1" si="138"/>
        <v/>
      </c>
      <c r="Z273" s="315" t="str">
        <f t="shared" ca="1" si="139"/>
        <v/>
      </c>
      <c r="AA273" s="316" t="str">
        <f t="shared" ca="1" si="140"/>
        <v/>
      </c>
      <c r="AC273" s="310" t="e">
        <f t="shared" ca="1" si="141"/>
        <v>#N/A</v>
      </c>
      <c r="AD273" s="323" t="e">
        <f t="shared" ca="1" si="142"/>
        <v>#N/A</v>
      </c>
      <c r="AE273" s="324">
        <f t="shared" ca="1" si="121"/>
        <v>1411.4896735211021</v>
      </c>
      <c r="AG273" s="306">
        <f t="shared" ca="1" si="143"/>
        <v>-9.6789004314981177</v>
      </c>
      <c r="AH273" s="304">
        <f t="shared" ca="1" si="144"/>
        <v>-1.376337960947124</v>
      </c>
    </row>
    <row r="274" spans="1:34" x14ac:dyDescent="0.2">
      <c r="A274" s="347">
        <f t="shared" ca="1" si="122"/>
        <v>0.1</v>
      </c>
      <c r="B274" s="304">
        <f t="shared" ca="1" si="123"/>
        <v>12.199999999999934</v>
      </c>
      <c r="D274" s="306">
        <f t="shared" ca="1" si="124"/>
        <v>-0.71327773906697067</v>
      </c>
      <c r="E274" s="307">
        <f t="shared" ca="1" si="125"/>
        <v>-10.911305936502334</v>
      </c>
      <c r="F274" s="304">
        <f t="shared" ca="1" si="126"/>
        <v>10.934594751201324</v>
      </c>
      <c r="G274" s="306">
        <f t="shared" ca="1" si="127"/>
        <v>21.770070178699008</v>
      </c>
      <c r="H274" s="307">
        <f t="shared" ca="1" si="128"/>
        <v>32.632144239207108</v>
      </c>
      <c r="I274" s="304">
        <f t="shared" ca="1" si="129"/>
        <v>39.227449486729284</v>
      </c>
      <c r="J274" s="306">
        <f t="shared" ca="1" si="130"/>
        <v>368.18569485167592</v>
      </c>
      <c r="K274" s="307">
        <f t="shared" ca="1" si="131"/>
        <v>1414.8074444747053</v>
      </c>
      <c r="L274" s="304">
        <f t="shared" ca="1" si="116"/>
        <v>1461.9305082097635</v>
      </c>
      <c r="M274" s="306">
        <f t="shared" ca="1" si="132"/>
        <v>0.98246904021046877</v>
      </c>
      <c r="N274" s="304">
        <f t="shared" ca="1" si="133"/>
        <v>56.29132950632863</v>
      </c>
      <c r="P274" s="310">
        <f t="shared" ca="1" si="134"/>
        <v>23</v>
      </c>
      <c r="Q274" s="304">
        <f t="shared" ca="1" si="135"/>
        <v>0</v>
      </c>
      <c r="R274" s="306">
        <f t="shared" ca="1" si="136"/>
        <v>0</v>
      </c>
      <c r="S274" s="307">
        <f t="shared" ca="1" si="137"/>
        <v>2.6792999999999987</v>
      </c>
      <c r="T274" s="304">
        <f t="shared" ca="1" si="117"/>
        <v>26.283932999999987</v>
      </c>
      <c r="U274" s="311">
        <f t="shared" ca="1" si="118"/>
        <v>0</v>
      </c>
      <c r="V274" s="306">
        <f t="shared" ca="1" si="119"/>
        <v>1.0631363807285894</v>
      </c>
      <c r="W274" s="304">
        <f t="shared" ca="1" si="120"/>
        <v>3.3499782946054966</v>
      </c>
      <c r="Y274" s="314" t="str">
        <f t="shared" ca="1" si="138"/>
        <v/>
      </c>
      <c r="Z274" s="315" t="str">
        <f t="shared" ca="1" si="139"/>
        <v/>
      </c>
      <c r="AA274" s="316" t="str">
        <f t="shared" ca="1" si="140"/>
        <v/>
      </c>
      <c r="AC274" s="310" t="e">
        <f t="shared" ca="1" si="141"/>
        <v>#N/A</v>
      </c>
      <c r="AD274" s="323" t="e">
        <f t="shared" ca="1" si="142"/>
        <v>#N/A</v>
      </c>
      <c r="AE274" s="324">
        <f t="shared" ca="1" si="121"/>
        <v>1414.8074444747053</v>
      </c>
      <c r="AG274" s="306">
        <f t="shared" ca="1" si="143"/>
        <v>-9.5460173116811653</v>
      </c>
      <c r="AH274" s="304">
        <f t="shared" ca="1" si="144"/>
        <v>-1.3121127614743213</v>
      </c>
    </row>
    <row r="275" spans="1:34" x14ac:dyDescent="0.2">
      <c r="A275" s="347">
        <f t="shared" ca="1" si="122"/>
        <v>0.1</v>
      </c>
      <c r="B275" s="304">
        <f t="shared" ca="1" si="123"/>
        <v>12.299999999999933</v>
      </c>
      <c r="D275" s="306">
        <f t="shared" ca="1" si="124"/>
        <v>-0.69388964461109937</v>
      </c>
      <c r="E275" s="307">
        <f t="shared" ca="1" si="125"/>
        <v>-10.850102617179287</v>
      </c>
      <c r="F275" s="304">
        <f t="shared" ca="1" si="126"/>
        <v>10.872267916227015</v>
      </c>
      <c r="G275" s="306">
        <f t="shared" ca="1" si="127"/>
        <v>21.7006812142379</v>
      </c>
      <c r="H275" s="307">
        <f t="shared" ca="1" si="128"/>
        <v>31.547133977489178</v>
      </c>
      <c r="I275" s="304">
        <f t="shared" ca="1" si="129"/>
        <v>38.290223652462906</v>
      </c>
      <c r="J275" s="306">
        <f t="shared" ca="1" si="130"/>
        <v>370.35923242132276</v>
      </c>
      <c r="K275" s="307">
        <f t="shared" ca="1" si="131"/>
        <v>1418.0164083855402</v>
      </c>
      <c r="L275" s="304">
        <f t="shared" ca="1" si="116"/>
        <v>1465.5840117476509</v>
      </c>
      <c r="M275" s="306">
        <f t="shared" ca="1" si="132"/>
        <v>0.96825015671858428</v>
      </c>
      <c r="N275" s="304">
        <f t="shared" ca="1" si="133"/>
        <v>55.476647492855406</v>
      </c>
      <c r="P275" s="310">
        <f t="shared" ca="1" si="134"/>
        <v>23</v>
      </c>
      <c r="Q275" s="304">
        <f t="shared" ca="1" si="135"/>
        <v>0</v>
      </c>
      <c r="R275" s="306">
        <f t="shared" ca="1" si="136"/>
        <v>0</v>
      </c>
      <c r="S275" s="307">
        <f t="shared" ca="1" si="137"/>
        <v>2.6792999999999987</v>
      </c>
      <c r="T275" s="304">
        <f t="shared" ca="1" si="117"/>
        <v>26.283932999999987</v>
      </c>
      <c r="U275" s="311">
        <f t="shared" ca="1" si="118"/>
        <v>0</v>
      </c>
      <c r="V275" s="306">
        <f t="shared" ca="1" si="119"/>
        <v>1.0627935596694946</v>
      </c>
      <c r="W275" s="304">
        <f t="shared" ca="1" si="120"/>
        <v>3.1907853511811752</v>
      </c>
      <c r="Y275" s="314" t="str">
        <f t="shared" ca="1" si="138"/>
        <v/>
      </c>
      <c r="Z275" s="315" t="str">
        <f t="shared" ca="1" si="139"/>
        <v/>
      </c>
      <c r="AA275" s="316" t="str">
        <f t="shared" ca="1" si="140"/>
        <v/>
      </c>
      <c r="AC275" s="310" t="e">
        <f t="shared" ca="1" si="141"/>
        <v>#N/A</v>
      </c>
      <c r="AD275" s="323" t="e">
        <f t="shared" ca="1" si="142"/>
        <v>#N/A</v>
      </c>
      <c r="AE275" s="324">
        <f t="shared" ca="1" si="121"/>
        <v>1418.0164083855402</v>
      </c>
      <c r="AG275" s="306">
        <f t="shared" ca="1" si="143"/>
        <v>-9.4109646358308208</v>
      </c>
      <c r="AH275" s="304">
        <f t="shared" ca="1" si="144"/>
        <v>-1.2503184766937252</v>
      </c>
    </row>
    <row r="276" spans="1:34" x14ac:dyDescent="0.2">
      <c r="A276" s="347">
        <f t="shared" ca="1" si="122"/>
        <v>0.1</v>
      </c>
      <c r="B276" s="304">
        <f t="shared" ca="1" si="123"/>
        <v>12.399999999999933</v>
      </c>
      <c r="D276" s="306">
        <f t="shared" ca="1" si="124"/>
        <v>-0.67493462654781522</v>
      </c>
      <c r="E276" s="307">
        <f t="shared" ca="1" si="125"/>
        <v>-10.791179018278036</v>
      </c>
      <c r="F276" s="304">
        <f t="shared" ca="1" si="126"/>
        <v>10.812265320210994</v>
      </c>
      <c r="G276" s="306">
        <f t="shared" ca="1" si="127"/>
        <v>21.633187751583119</v>
      </c>
      <c r="H276" s="307">
        <f t="shared" ca="1" si="128"/>
        <v>30.468016075661374</v>
      </c>
      <c r="I276" s="304">
        <f t="shared" ca="1" si="129"/>
        <v>37.367028459351779</v>
      </c>
      <c r="J276" s="306">
        <f t="shared" ca="1" si="130"/>
        <v>372.52592586961379</v>
      </c>
      <c r="K276" s="307">
        <f t="shared" ca="1" si="131"/>
        <v>1421.1171658881976</v>
      </c>
      <c r="L276" s="304">
        <f t="shared" ca="1" si="116"/>
        <v>1469.1322488554651</v>
      </c>
      <c r="M276" s="306">
        <f t="shared" ca="1" si="132"/>
        <v>0.95337087612540661</v>
      </c>
      <c r="N276" s="304">
        <f t="shared" ca="1" si="133"/>
        <v>54.624127512675415</v>
      </c>
      <c r="P276" s="310">
        <f t="shared" ca="1" si="134"/>
        <v>23</v>
      </c>
      <c r="Q276" s="304">
        <f t="shared" ca="1" si="135"/>
        <v>0</v>
      </c>
      <c r="R276" s="306">
        <f t="shared" ca="1" si="136"/>
        <v>0</v>
      </c>
      <c r="S276" s="307">
        <f t="shared" ca="1" si="137"/>
        <v>2.6792999999999987</v>
      </c>
      <c r="T276" s="304">
        <f t="shared" ca="1" si="117"/>
        <v>26.283932999999987</v>
      </c>
      <c r="U276" s="311">
        <f t="shared" ca="1" si="118"/>
        <v>0</v>
      </c>
      <c r="V276" s="306">
        <f t="shared" ca="1" si="119"/>
        <v>1.0624623961270081</v>
      </c>
      <c r="W276" s="304">
        <f t="shared" ca="1" si="120"/>
        <v>3.0378306736781897</v>
      </c>
      <c r="Y276" s="314" t="str">
        <f t="shared" ca="1" si="138"/>
        <v/>
      </c>
      <c r="Z276" s="315" t="str">
        <f t="shared" ca="1" si="139"/>
        <v/>
      </c>
      <c r="AA276" s="316" t="str">
        <f t="shared" ca="1" si="140"/>
        <v/>
      </c>
      <c r="AC276" s="310" t="e">
        <f t="shared" ca="1" si="141"/>
        <v>#N/A</v>
      </c>
      <c r="AD276" s="323" t="e">
        <f t="shared" ca="1" si="142"/>
        <v>#N/A</v>
      </c>
      <c r="AE276" s="324">
        <f t="shared" ca="1" si="121"/>
        <v>1421.1171658881976</v>
      </c>
      <c r="AG276" s="306">
        <f t="shared" ca="1" si="143"/>
        <v>-9.2733151589469198</v>
      </c>
      <c r="AH276" s="304">
        <f t="shared" ca="1" si="144"/>
        <v>-1.1909026055989165</v>
      </c>
    </row>
    <row r="277" spans="1:34" x14ac:dyDescent="0.2">
      <c r="A277" s="347">
        <f t="shared" ca="1" si="122"/>
        <v>0.1</v>
      </c>
      <c r="B277" s="304">
        <f t="shared" ca="1" si="123"/>
        <v>12.499999999999932</v>
      </c>
      <c r="D277" s="306">
        <f t="shared" ca="1" si="124"/>
        <v>-0.65640846880200077</v>
      </c>
      <c r="E277" s="307">
        <f t="shared" ca="1" si="125"/>
        <v>-10.734480664122007</v>
      </c>
      <c r="F277" s="304">
        <f t="shared" ca="1" si="126"/>
        <v>10.754531473119794</v>
      </c>
      <c r="G277" s="306">
        <f t="shared" ca="1" si="127"/>
        <v>21.567546904702919</v>
      </c>
      <c r="H277" s="307">
        <f t="shared" ca="1" si="128"/>
        <v>29.394568009249173</v>
      </c>
      <c r="I277" s="304">
        <f t="shared" ca="1" si="129"/>
        <v>36.458191232381992</v>
      </c>
      <c r="J277" s="306">
        <f t="shared" ca="1" si="130"/>
        <v>374.68596260242811</v>
      </c>
      <c r="K277" s="307">
        <f t="shared" ca="1" si="131"/>
        <v>1424.1102950924433</v>
      </c>
      <c r="L277" s="304">
        <f t="shared" ca="1" si="116"/>
        <v>1472.5758734814292</v>
      </c>
      <c r="M277" s="306">
        <f t="shared" ca="1" si="132"/>
        <v>0.93779245599984018</v>
      </c>
      <c r="N277" s="304">
        <f t="shared" ca="1" si="133"/>
        <v>53.731549787998802</v>
      </c>
      <c r="P277" s="310">
        <f t="shared" ca="1" si="134"/>
        <v>23</v>
      </c>
      <c r="Q277" s="304">
        <f t="shared" ca="1" si="135"/>
        <v>0</v>
      </c>
      <c r="R277" s="306">
        <f t="shared" ca="1" si="136"/>
        <v>0</v>
      </c>
      <c r="S277" s="307">
        <f t="shared" ca="1" si="137"/>
        <v>2.6792999999999987</v>
      </c>
      <c r="T277" s="304">
        <f t="shared" ca="1" si="117"/>
        <v>26.283932999999987</v>
      </c>
      <c r="U277" s="311">
        <f t="shared" ca="1" si="118"/>
        <v>0</v>
      </c>
      <c r="V277" s="306">
        <f t="shared" ca="1" si="119"/>
        <v>1.0621428183052384</v>
      </c>
      <c r="W277" s="304">
        <f t="shared" ca="1" si="120"/>
        <v>2.890986233136442</v>
      </c>
      <c r="Y277" s="314" t="str">
        <f t="shared" ca="1" si="138"/>
        <v/>
      </c>
      <c r="Z277" s="315" t="str">
        <f t="shared" ca="1" si="139"/>
        <v/>
      </c>
      <c r="AA277" s="316" t="str">
        <f t="shared" ca="1" si="140"/>
        <v/>
      </c>
      <c r="AC277" s="310" t="e">
        <f t="shared" ca="1" si="141"/>
        <v>#N/A</v>
      </c>
      <c r="AD277" s="323" t="e">
        <f t="shared" ca="1" si="142"/>
        <v>#N/A</v>
      </c>
      <c r="AE277" s="324">
        <f t="shared" ca="1" si="121"/>
        <v>1424.1102950924433</v>
      </c>
      <c r="AG277" s="306">
        <f t="shared" ca="1" si="143"/>
        <v>-9.1326110519302528</v>
      </c>
      <c r="AH277" s="304">
        <f t="shared" ca="1" si="144"/>
        <v>-1.1338150538118879</v>
      </c>
    </row>
    <row r="278" spans="1:34" x14ac:dyDescent="0.2">
      <c r="A278" s="347">
        <f t="shared" ca="1" si="122"/>
        <v>0.1</v>
      </c>
      <c r="B278" s="304">
        <f t="shared" ca="1" si="123"/>
        <v>12.599999999999932</v>
      </c>
      <c r="D278" s="306">
        <f t="shared" ca="1" si="124"/>
        <v>-0.63830803610131437</v>
      </c>
      <c r="E278" s="307">
        <f t="shared" ca="1" si="125"/>
        <v>-10.679954708383598</v>
      </c>
      <c r="F278" s="304">
        <f t="shared" ca="1" si="126"/>
        <v>10.699012558272679</v>
      </c>
      <c r="G278" s="306">
        <f t="shared" ca="1" si="127"/>
        <v>21.503716101092788</v>
      </c>
      <c r="H278" s="307">
        <f t="shared" ca="1" si="128"/>
        <v>28.326572538410815</v>
      </c>
      <c r="I278" s="304">
        <f t="shared" ca="1" si="129"/>
        <v>35.56409028683634</v>
      </c>
      <c r="J278" s="306">
        <f t="shared" ca="1" si="130"/>
        <v>376.83952575271792</v>
      </c>
      <c r="K278" s="307">
        <f t="shared" ca="1" si="131"/>
        <v>1426.9963521198263</v>
      </c>
      <c r="L278" s="304">
        <f t="shared" ca="1" si="116"/>
        <v>1475.9155182912145</v>
      </c>
      <c r="M278" s="306">
        <f t="shared" ca="1" si="132"/>
        <v>0.92147388177557998</v>
      </c>
      <c r="N278" s="304">
        <f t="shared" ca="1" si="133"/>
        <v>52.796564357277717</v>
      </c>
      <c r="P278" s="310">
        <f t="shared" ca="1" si="134"/>
        <v>23</v>
      </c>
      <c r="Q278" s="304">
        <f t="shared" ca="1" si="135"/>
        <v>0</v>
      </c>
      <c r="R278" s="306">
        <f t="shared" ca="1" si="136"/>
        <v>0</v>
      </c>
      <c r="S278" s="307">
        <f t="shared" ca="1" si="137"/>
        <v>2.6792999999999987</v>
      </c>
      <c r="T278" s="304">
        <f t="shared" ca="1" si="117"/>
        <v>26.283932999999987</v>
      </c>
      <c r="U278" s="311">
        <f t="shared" ca="1" si="118"/>
        <v>0</v>
      </c>
      <c r="V278" s="306">
        <f t="shared" ca="1" si="119"/>
        <v>1.0618347571801547</v>
      </c>
      <c r="W278" s="304">
        <f t="shared" ca="1" si="120"/>
        <v>2.7501299436114452</v>
      </c>
      <c r="Y278" s="314" t="str">
        <f t="shared" ca="1" si="138"/>
        <v/>
      </c>
      <c r="Z278" s="315" t="str">
        <f t="shared" ca="1" si="139"/>
        <v/>
      </c>
      <c r="AA278" s="316" t="str">
        <f t="shared" ca="1" si="140"/>
        <v/>
      </c>
      <c r="AC278" s="310" t="e">
        <f t="shared" ca="1" si="141"/>
        <v>#N/A</v>
      </c>
      <c r="AD278" s="323" t="e">
        <f t="shared" ca="1" si="142"/>
        <v>#N/A</v>
      </c>
      <c r="AE278" s="324">
        <f t="shared" ca="1" si="121"/>
        <v>1426.9963521198263</v>
      </c>
      <c r="AG278" s="306">
        <f t="shared" ca="1" si="143"/>
        <v>-8.988361255521788</v>
      </c>
      <c r="AH278" s="304">
        <f t="shared" ca="1" si="144"/>
        <v>-1.079008036851582</v>
      </c>
    </row>
    <row r="279" spans="1:34" x14ac:dyDescent="0.2">
      <c r="A279" s="347">
        <f t="shared" ca="1" si="122"/>
        <v>0.1</v>
      </c>
      <c r="B279" s="304">
        <f t="shared" ca="1" si="123"/>
        <v>12.699999999999932</v>
      </c>
      <c r="D279" s="306">
        <f t="shared" ca="1" si="124"/>
        <v>-0.62063131410381522</v>
      </c>
      <c r="E279" s="307">
        <f t="shared" ca="1" si="125"/>
        <v>-10.627549760047174</v>
      </c>
      <c r="F279" s="304">
        <f t="shared" ca="1" si="126"/>
        <v>10.645656256442107</v>
      </c>
      <c r="G279" s="306">
        <f t="shared" ca="1" si="127"/>
        <v>21.441652969682405</v>
      </c>
      <c r="H279" s="307">
        <f t="shared" ca="1" si="128"/>
        <v>27.263817562406096</v>
      </c>
      <c r="I279" s="304">
        <f t="shared" ca="1" si="129"/>
        <v>34.685158643841511</v>
      </c>
      <c r="J279" s="306">
        <f t="shared" ca="1" si="130"/>
        <v>378.98679420625666</v>
      </c>
      <c r="K279" s="307">
        <f t="shared" ca="1" si="131"/>
        <v>1429.775871624867</v>
      </c>
      <c r="L279" s="304">
        <f t="shared" ca="1" si="116"/>
        <v>1479.1517952067611</v>
      </c>
      <c r="M279" s="306">
        <f t="shared" ca="1" si="132"/>
        <v>0.90437182647635084</v>
      </c>
      <c r="N279" s="304">
        <f t="shared" ca="1" si="133"/>
        <v>51.816688767632542</v>
      </c>
      <c r="P279" s="310">
        <f t="shared" ca="1" si="134"/>
        <v>23</v>
      </c>
      <c r="Q279" s="304">
        <f t="shared" ca="1" si="135"/>
        <v>0</v>
      </c>
      <c r="R279" s="306">
        <f t="shared" ca="1" si="136"/>
        <v>0</v>
      </c>
      <c r="S279" s="307">
        <f t="shared" ca="1" si="137"/>
        <v>2.6792999999999987</v>
      </c>
      <c r="T279" s="304">
        <f t="shared" ca="1" si="117"/>
        <v>26.283932999999987</v>
      </c>
      <c r="U279" s="311">
        <f t="shared" ca="1" si="118"/>
        <v>0</v>
      </c>
      <c r="V279" s="306">
        <f t="shared" ca="1" si="119"/>
        <v>1.0615381464339448</v>
      </c>
      <c r="W279" s="304">
        <f t="shared" ca="1" si="120"/>
        <v>2.6151454286363389</v>
      </c>
      <c r="Y279" s="314" t="str">
        <f t="shared" ca="1" si="138"/>
        <v/>
      </c>
      <c r="Z279" s="315" t="str">
        <f t="shared" ca="1" si="139"/>
        <v/>
      </c>
      <c r="AA279" s="316" t="str">
        <f t="shared" ca="1" si="140"/>
        <v/>
      </c>
      <c r="AC279" s="310" t="e">
        <f t="shared" ca="1" si="141"/>
        <v>#N/A</v>
      </c>
      <c r="AD279" s="323" t="e">
        <f t="shared" ca="1" si="142"/>
        <v>#N/A</v>
      </c>
      <c r="AE279" s="324">
        <f t="shared" ca="1" si="121"/>
        <v>1429.775871624867</v>
      </c>
      <c r="AG279" s="306">
        <f t="shared" ca="1" si="143"/>
        <v>-8.840038820895991</v>
      </c>
      <c r="AH279" s="304">
        <f t="shared" ca="1" si="144"/>
        <v>-1.0264359883594396</v>
      </c>
    </row>
    <row r="280" spans="1:34" x14ac:dyDescent="0.2">
      <c r="A280" s="347">
        <f t="shared" ca="1" si="122"/>
        <v>0.1</v>
      </c>
      <c r="B280" s="304">
        <f t="shared" ca="1" si="123"/>
        <v>12.799999999999931</v>
      </c>
      <c r="D280" s="306">
        <f t="shared" ca="1" si="124"/>
        <v>-0.60337745445371249</v>
      </c>
      <c r="E280" s="307">
        <f t="shared" ca="1" si="125"/>
        <v>-10.577215702201466</v>
      </c>
      <c r="F280" s="304">
        <f t="shared" ca="1" si="126"/>
        <v>10.59441156286843</v>
      </c>
      <c r="G280" s="306">
        <f t="shared" ca="1" si="127"/>
        <v>21.381315224237035</v>
      </c>
      <c r="H280" s="307">
        <f t="shared" ca="1" si="128"/>
        <v>26.206095992185951</v>
      </c>
      <c r="I280" s="304">
        <f t="shared" ca="1" si="129"/>
        <v>33.821887999782845</v>
      </c>
      <c r="J280" s="306">
        <f t="shared" ca="1" si="130"/>
        <v>381.12794261595263</v>
      </c>
      <c r="K280" s="307">
        <f t="shared" ca="1" si="131"/>
        <v>1432.4493673025966</v>
      </c>
      <c r="L280" s="304">
        <f t="shared" ca="1" si="116"/>
        <v>1482.285295929322</v>
      </c>
      <c r="M280" s="306">
        <f t="shared" ca="1" si="132"/>
        <v>0.88644064066187245</v>
      </c>
      <c r="N280" s="304">
        <f t="shared" ca="1" si="133"/>
        <v>50.789307498798081</v>
      </c>
      <c r="P280" s="310">
        <f t="shared" ca="1" si="134"/>
        <v>23</v>
      </c>
      <c r="Q280" s="304">
        <f t="shared" ca="1" si="135"/>
        <v>0</v>
      </c>
      <c r="R280" s="306">
        <f t="shared" ca="1" si="136"/>
        <v>0</v>
      </c>
      <c r="S280" s="307">
        <f t="shared" ca="1" si="137"/>
        <v>2.6792999999999987</v>
      </c>
      <c r="T280" s="304">
        <f t="shared" ca="1" si="117"/>
        <v>26.283932999999987</v>
      </c>
      <c r="U280" s="311">
        <f t="shared" ca="1" si="118"/>
        <v>0</v>
      </c>
      <c r="V280" s="306">
        <f t="shared" ca="1" si="119"/>
        <v>1.0612529223913407</v>
      </c>
      <c r="W280" s="304">
        <f t="shared" ca="1" si="120"/>
        <v>2.4859217991437799</v>
      </c>
      <c r="Y280" s="314" t="str">
        <f t="shared" ca="1" si="138"/>
        <v/>
      </c>
      <c r="Z280" s="315" t="str">
        <f t="shared" ca="1" si="139"/>
        <v/>
      </c>
      <c r="AA280" s="316" t="str">
        <f t="shared" ca="1" si="140"/>
        <v/>
      </c>
      <c r="AC280" s="310" t="e">
        <f t="shared" ca="1" si="141"/>
        <v>#N/A</v>
      </c>
      <c r="AD280" s="323" t="e">
        <f t="shared" ca="1" si="142"/>
        <v>#N/A</v>
      </c>
      <c r="AE280" s="324">
        <f t="shared" ca="1" si="121"/>
        <v>1432.4493673025966</v>
      </c>
      <c r="AG280" s="306">
        <f t="shared" ca="1" si="143"/>
        <v>-8.6870783064636186</v>
      </c>
      <c r="AH280" s="304">
        <f t="shared" ca="1" si="144"/>
        <v>-0.97605547293559525</v>
      </c>
    </row>
    <row r="281" spans="1:34" x14ac:dyDescent="0.2">
      <c r="A281" s="347">
        <f t="shared" ca="1" si="122"/>
        <v>0.1</v>
      </c>
      <c r="B281" s="304">
        <f t="shared" ca="1" si="123"/>
        <v>12.899999999999931</v>
      </c>
      <c r="D281" s="306">
        <f t="shared" ca="1" si="124"/>
        <v>-0.58654682452157092</v>
      </c>
      <c r="E281" s="307">
        <f t="shared" ca="1" si="125"/>
        <v>-10.528903501778041</v>
      </c>
      <c r="F281" s="304">
        <f t="shared" ca="1" si="126"/>
        <v>10.54522859529893</v>
      </c>
      <c r="G281" s="306">
        <f t="shared" ca="1" si="127"/>
        <v>21.322660541784877</v>
      </c>
      <c r="H281" s="307">
        <f t="shared" ca="1" si="128"/>
        <v>25.153205642008146</v>
      </c>
      <c r="I281" s="304">
        <f t="shared" ca="1" si="129"/>
        <v>32.974832928300643</v>
      </c>
      <c r="J281" s="306">
        <f t="shared" ca="1" si="130"/>
        <v>383.2631414042537</v>
      </c>
      <c r="K281" s="307">
        <f t="shared" ca="1" si="131"/>
        <v>1435.0173323843062</v>
      </c>
      <c r="L281" s="304">
        <f t="shared" ca="1" si="116"/>
        <v>1485.3165924483667</v>
      </c>
      <c r="M281" s="306">
        <f t="shared" ca="1" si="132"/>
        <v>0.86763238244712071</v>
      </c>
      <c r="N281" s="304">
        <f t="shared" ca="1" si="133"/>
        <v>49.711673683100543</v>
      </c>
      <c r="P281" s="310">
        <f t="shared" ca="1" si="134"/>
        <v>23</v>
      </c>
      <c r="Q281" s="304">
        <f t="shared" ca="1" si="135"/>
        <v>0</v>
      </c>
      <c r="R281" s="306">
        <f t="shared" ca="1" si="136"/>
        <v>0</v>
      </c>
      <c r="S281" s="307">
        <f t="shared" ca="1" si="137"/>
        <v>2.6792999999999987</v>
      </c>
      <c r="T281" s="304">
        <f t="shared" ca="1" si="117"/>
        <v>26.283932999999987</v>
      </c>
      <c r="U281" s="311">
        <f t="shared" ca="1" si="118"/>
        <v>0</v>
      </c>
      <c r="V281" s="306">
        <f t="shared" ca="1" si="119"/>
        <v>1.0609790239576882</v>
      </c>
      <c r="W281" s="304">
        <f t="shared" ca="1" si="120"/>
        <v>2.3623534419822252</v>
      </c>
      <c r="Y281" s="314" t="str">
        <f t="shared" ca="1" si="138"/>
        <v/>
      </c>
      <c r="Z281" s="315" t="str">
        <f t="shared" ca="1" si="139"/>
        <v/>
      </c>
      <c r="AA281" s="316" t="str">
        <f t="shared" ca="1" si="140"/>
        <v/>
      </c>
      <c r="AC281" s="310" t="e">
        <f t="shared" ca="1" si="141"/>
        <v>#N/A</v>
      </c>
      <c r="AD281" s="323" t="e">
        <f t="shared" ca="1" si="142"/>
        <v>#N/A</v>
      </c>
      <c r="AE281" s="324">
        <f t="shared" ca="1" si="121"/>
        <v>1435.0173323843062</v>
      </c>
      <c r="AG281" s="306">
        <f t="shared" ca="1" si="143"/>
        <v>-8.52887332637318</v>
      </c>
      <c r="AH281" s="304">
        <f t="shared" ca="1" si="144"/>
        <v>-0.92782510325226031</v>
      </c>
    </row>
    <row r="282" spans="1:34" x14ac:dyDescent="0.2">
      <c r="A282" s="347">
        <f t="shared" ca="1" si="122"/>
        <v>0.1</v>
      </c>
      <c r="B282" s="304">
        <f t="shared" ca="1" si="123"/>
        <v>12.999999999999931</v>
      </c>
      <c r="D282" s="306">
        <f t="shared" ca="1" si="124"/>
        <v>-0.57014106140296616</v>
      </c>
      <c r="E282" s="307">
        <f t="shared" ca="1" si="125"/>
        <v>-10.482565008213612</v>
      </c>
      <c r="F282" s="304">
        <f t="shared" ca="1" si="126"/>
        <v>10.498058391022701</v>
      </c>
      <c r="G282" s="306">
        <f t="shared" ca="1" si="127"/>
        <v>21.26564643564458</v>
      </c>
      <c r="H282" s="307">
        <f t="shared" ca="1" si="128"/>
        <v>24.104949141186786</v>
      </c>
      <c r="I282" s="304">
        <f t="shared" ca="1" si="129"/>
        <v>32.144615278846388</v>
      </c>
      <c r="J282" s="306">
        <f t="shared" ca="1" si="130"/>
        <v>385.39255675312518</v>
      </c>
      <c r="K282" s="307">
        <f t="shared" ca="1" si="131"/>
        <v>1437.480240123466</v>
      </c>
      <c r="L282" s="304">
        <f t="shared" ca="1" si="116"/>
        <v>1488.2462375380387</v>
      </c>
      <c r="M282" s="306">
        <f t="shared" ca="1" si="132"/>
        <v>0.84789689957735792</v>
      </c>
      <c r="N282" s="304">
        <f t="shared" ca="1" si="133"/>
        <v>48.580913808010401</v>
      </c>
      <c r="P282" s="310">
        <f t="shared" ca="1" si="134"/>
        <v>23</v>
      </c>
      <c r="Q282" s="304">
        <f t="shared" ca="1" si="135"/>
        <v>0</v>
      </c>
      <c r="R282" s="306">
        <f t="shared" ca="1" si="136"/>
        <v>0</v>
      </c>
      <c r="S282" s="307">
        <f t="shared" ca="1" si="137"/>
        <v>2.6792999999999987</v>
      </c>
      <c r="T282" s="304">
        <f t="shared" ca="1" si="117"/>
        <v>26.283932999999987</v>
      </c>
      <c r="U282" s="311">
        <f t="shared" ca="1" si="118"/>
        <v>0</v>
      </c>
      <c r="V282" s="306">
        <f t="shared" ca="1" si="119"/>
        <v>1.0607163925585403</v>
      </c>
      <c r="W282" s="304">
        <f t="shared" ca="1" si="120"/>
        <v>2.2443398181827772</v>
      </c>
      <c r="Y282" s="314" t="str">
        <f t="shared" ca="1" si="138"/>
        <v/>
      </c>
      <c r="Z282" s="315" t="str">
        <f t="shared" ca="1" si="139"/>
        <v/>
      </c>
      <c r="AA282" s="316" t="str">
        <f t="shared" ca="1" si="140"/>
        <v/>
      </c>
      <c r="AC282" s="310">
        <f t="shared" ca="1" si="141"/>
        <v>12.999999999999931</v>
      </c>
      <c r="AD282" s="323">
        <f t="shared" ca="1" si="142"/>
        <v>385.39255675312518</v>
      </c>
      <c r="AE282" s="324">
        <f t="shared" ca="1" si="121"/>
        <v>1437.480240123466</v>
      </c>
      <c r="AG282" s="306">
        <f t="shared" ca="1" si="143"/>
        <v>-8.3647743786994511</v>
      </c>
      <c r="AH282" s="304">
        <f t="shared" ca="1" si="144"/>
        <v>-0.8817054611212729</v>
      </c>
    </row>
    <row r="283" spans="1:34" x14ac:dyDescent="0.2">
      <c r="A283" s="347">
        <f t="shared" ca="1" si="122"/>
        <v>0.1</v>
      </c>
      <c r="B283" s="304">
        <f t="shared" ca="1" si="123"/>
        <v>13.09999999999993</v>
      </c>
      <c r="D283" s="306">
        <f t="shared" ca="1" si="124"/>
        <v>-0.55416312950784974</v>
      </c>
      <c r="E283" s="307">
        <f t="shared" ca="1" si="125"/>
        <v>-10.438152738884881</v>
      </c>
      <c r="F283" s="304">
        <f t="shared" ca="1" si="126"/>
        <v>10.452852690744086</v>
      </c>
      <c r="G283" s="306">
        <f t="shared" ca="1" si="127"/>
        <v>21.210230122693794</v>
      </c>
      <c r="H283" s="307">
        <f t="shared" ca="1" si="128"/>
        <v>23.061133867298299</v>
      </c>
      <c r="I283" s="304">
        <f t="shared" ca="1" si="129"/>
        <v>31.331928716615575</v>
      </c>
      <c r="J283" s="306">
        <f t="shared" ca="1" si="130"/>
        <v>387.5163505810421</v>
      </c>
      <c r="K283" s="307">
        <f t="shared" ca="1" si="131"/>
        <v>1439.8385442738902</v>
      </c>
      <c r="L283" s="304">
        <f t="shared" ca="1" si="116"/>
        <v>1491.0747652429789</v>
      </c>
      <c r="M283" s="306">
        <f t="shared" ca="1" si="132"/>
        <v>0.82718197794784765</v>
      </c>
      <c r="N283" s="304">
        <f t="shared" ca="1" si="133"/>
        <v>47.394036225695203</v>
      </c>
      <c r="P283" s="310">
        <f t="shared" ca="1" si="134"/>
        <v>23</v>
      </c>
      <c r="Q283" s="304">
        <f t="shared" ca="1" si="135"/>
        <v>0</v>
      </c>
      <c r="R283" s="306">
        <f t="shared" ca="1" si="136"/>
        <v>0</v>
      </c>
      <c r="S283" s="307">
        <f t="shared" ca="1" si="137"/>
        <v>2.6792999999999987</v>
      </c>
      <c r="T283" s="304">
        <f t="shared" ca="1" si="117"/>
        <v>26.283932999999987</v>
      </c>
      <c r="U283" s="311">
        <f t="shared" ca="1" si="118"/>
        <v>0</v>
      </c>
      <c r="V283" s="306">
        <f t="shared" ca="1" si="119"/>
        <v>1.0604649720805301</v>
      </c>
      <c r="W283" s="304">
        <f t="shared" ca="1" si="120"/>
        <v>2.131785270147879</v>
      </c>
      <c r="Y283" s="314" t="str">
        <f t="shared" ca="1" si="138"/>
        <v/>
      </c>
      <c r="Z283" s="315" t="str">
        <f t="shared" ca="1" si="139"/>
        <v/>
      </c>
      <c r="AA283" s="316" t="str">
        <f t="shared" ca="1" si="140"/>
        <v/>
      </c>
      <c r="AC283" s="310" t="e">
        <f t="shared" ca="1" si="141"/>
        <v>#N/A</v>
      </c>
      <c r="AD283" s="323" t="e">
        <f t="shared" ca="1" si="142"/>
        <v>#N/A</v>
      </c>
      <c r="AE283" s="324">
        <f t="shared" ca="1" si="121"/>
        <v>1439.8385442738902</v>
      </c>
      <c r="AG283" s="306">
        <f t="shared" ca="1" si="143"/>
        <v>-8.1940871213934958</v>
      </c>
      <c r="AH283" s="304">
        <f t="shared" ca="1" si="144"/>
        <v>-0.8376590222008653</v>
      </c>
    </row>
    <row r="284" spans="1:34" x14ac:dyDescent="0.2">
      <c r="A284" s="347">
        <f t="shared" ca="1" si="122"/>
        <v>0.1</v>
      </c>
      <c r="B284" s="304">
        <f t="shared" ca="1" si="123"/>
        <v>13.19999999999993</v>
      </c>
      <c r="D284" s="306">
        <f t="shared" ca="1" si="124"/>
        <v>-0.53861738075886145</v>
      </c>
      <c r="E284" s="307">
        <f t="shared" ca="1" si="125"/>
        <v>-10.395619649059995</v>
      </c>
      <c r="F284" s="304">
        <f t="shared" ca="1" si="126"/>
        <v>10.409563707032961</v>
      </c>
      <c r="G284" s="306">
        <f t="shared" ca="1" si="127"/>
        <v>21.156368384617906</v>
      </c>
      <c r="H284" s="307">
        <f t="shared" ca="1" si="128"/>
        <v>22.021571902392299</v>
      </c>
      <c r="I284" s="304">
        <f t="shared" ca="1" si="129"/>
        <v>30.537543324208222</v>
      </c>
      <c r="J284" s="306">
        <f t="shared" ca="1" si="130"/>
        <v>389.63468050640768</v>
      </c>
      <c r="K284" s="307">
        <f t="shared" ca="1" si="131"/>
        <v>1442.0926795623748</v>
      </c>
      <c r="L284" s="304">
        <f t="shared" ca="1" si="116"/>
        <v>1493.8026913554281</v>
      </c>
      <c r="M284" s="306">
        <f t="shared" ca="1" si="132"/>
        <v>0.80543357360000478</v>
      </c>
      <c r="N284" s="304">
        <f t="shared" ca="1" si="133"/>
        <v>46.147944445419839</v>
      </c>
      <c r="P284" s="310">
        <f t="shared" ca="1" si="134"/>
        <v>23</v>
      </c>
      <c r="Q284" s="304">
        <f t="shared" ca="1" si="135"/>
        <v>0</v>
      </c>
      <c r="R284" s="306">
        <f t="shared" ca="1" si="136"/>
        <v>0</v>
      </c>
      <c r="S284" s="307">
        <f t="shared" ca="1" si="137"/>
        <v>2.6792999999999987</v>
      </c>
      <c r="T284" s="304">
        <f t="shared" ca="1" si="117"/>
        <v>26.283932999999987</v>
      </c>
      <c r="U284" s="311">
        <f t="shared" ca="1" si="118"/>
        <v>0</v>
      </c>
      <c r="V284" s="306">
        <f t="shared" ca="1" si="119"/>
        <v>1.0602247088132666</v>
      </c>
      <c r="W284" s="304">
        <f t="shared" ca="1" si="120"/>
        <v>2.0245988369418746</v>
      </c>
      <c r="Y284" s="314" t="str">
        <f t="shared" ca="1" si="138"/>
        <v/>
      </c>
      <c r="Z284" s="315" t="str">
        <f t="shared" ca="1" si="139"/>
        <v/>
      </c>
      <c r="AA284" s="316" t="str">
        <f t="shared" ca="1" si="140"/>
        <v/>
      </c>
      <c r="AC284" s="310" t="e">
        <f t="shared" ca="1" si="141"/>
        <v>#N/A</v>
      </c>
      <c r="AD284" s="323" t="e">
        <f t="shared" ca="1" si="142"/>
        <v>#N/A</v>
      </c>
      <c r="AE284" s="324">
        <f t="shared" ca="1" si="121"/>
        <v>1442.0926795623748</v>
      </c>
      <c r="AG284" s="306">
        <f t="shared" ca="1" si="143"/>
        <v>-8.0160713126247956</v>
      </c>
      <c r="AH284" s="304">
        <f t="shared" ca="1" si="144"/>
        <v>-0.79565008403235171</v>
      </c>
    </row>
    <row r="285" spans="1:34" x14ac:dyDescent="0.2">
      <c r="A285" s="347">
        <f t="shared" ca="1" si="122"/>
        <v>0.1</v>
      </c>
      <c r="B285" s="304">
        <f t="shared" ca="1" si="123"/>
        <v>13.29999999999993</v>
      </c>
      <c r="D285" s="306">
        <f t="shared" ca="1" si="124"/>
        <v>-0.52350961601655588</v>
      </c>
      <c r="E285" s="307">
        <f t="shared" ca="1" si="125"/>
        <v>-10.354918884050269</v>
      </c>
      <c r="F285" s="304">
        <f t="shared" ca="1" si="126"/>
        <v>10.368143875030027</v>
      </c>
      <c r="G285" s="306">
        <f t="shared" ca="1" si="127"/>
        <v>21.104017423016252</v>
      </c>
      <c r="H285" s="307">
        <f t="shared" ca="1" si="128"/>
        <v>20.986080013987273</v>
      </c>
      <c r="I285" s="304">
        <f t="shared" ca="1" si="129"/>
        <v>29.762310154698167</v>
      </c>
      <c r="J285" s="306">
        <f t="shared" ca="1" si="130"/>
        <v>391.74769979678939</v>
      </c>
      <c r="K285" s="307">
        <f t="shared" ca="1" si="131"/>
        <v>1444.2430621581937</v>
      </c>
      <c r="L285" s="304">
        <f t="shared" ca="1" si="116"/>
        <v>1496.4305138856771</v>
      </c>
      <c r="M285" s="306">
        <f t="shared" ca="1" si="132"/>
        <v>0.78259614801718624</v>
      </c>
      <c r="N285" s="304">
        <f t="shared" ca="1" si="133"/>
        <v>44.839456344580242</v>
      </c>
      <c r="P285" s="310">
        <f t="shared" ca="1" si="134"/>
        <v>23</v>
      </c>
      <c r="Q285" s="304">
        <f t="shared" ca="1" si="135"/>
        <v>0</v>
      </c>
      <c r="R285" s="306">
        <f t="shared" ca="1" si="136"/>
        <v>0</v>
      </c>
      <c r="S285" s="307">
        <f t="shared" ca="1" si="137"/>
        <v>2.6792999999999987</v>
      </c>
      <c r="T285" s="304">
        <f t="shared" ca="1" si="117"/>
        <v>26.283932999999987</v>
      </c>
      <c r="U285" s="311">
        <f t="shared" ca="1" si="118"/>
        <v>0</v>
      </c>
      <c r="V285" s="306">
        <f t="shared" ca="1" si="119"/>
        <v>1.0599955513919892</v>
      </c>
      <c r="W285" s="304">
        <f t="shared" ca="1" si="120"/>
        <v>1.9226940768659198</v>
      </c>
      <c r="Y285" s="314" t="str">
        <f t="shared" ca="1" si="138"/>
        <v/>
      </c>
      <c r="Z285" s="315" t="str">
        <f t="shared" ca="1" si="139"/>
        <v/>
      </c>
      <c r="AA285" s="316" t="str">
        <f t="shared" ca="1" si="140"/>
        <v/>
      </c>
      <c r="AC285" s="310" t="e">
        <f t="shared" ca="1" si="141"/>
        <v>#N/A</v>
      </c>
      <c r="AD285" s="323" t="e">
        <f t="shared" ca="1" si="142"/>
        <v>#N/A</v>
      </c>
      <c r="AE285" s="324">
        <f t="shared" ca="1" si="121"/>
        <v>1444.2430621581937</v>
      </c>
      <c r="AG285" s="306">
        <f t="shared" ca="1" si="143"/>
        <v>-7.8299406897063655</v>
      </c>
      <c r="AH285" s="304">
        <f t="shared" ca="1" si="144"/>
        <v>-0.75564469710068882</v>
      </c>
    </row>
    <row r="286" spans="1:34" x14ac:dyDescent="0.2">
      <c r="A286" s="347">
        <f t="shared" ca="1" si="122"/>
        <v>0.1</v>
      </c>
      <c r="B286" s="304">
        <f t="shared" ca="1" si="123"/>
        <v>13.399999999999929</v>
      </c>
      <c r="D286" s="306">
        <f t="shared" ca="1" si="124"/>
        <v>-0.50884714584885293</v>
      </c>
      <c r="E286" s="307">
        <f t="shared" ca="1" si="125"/>
        <v>-10.316003511256904</v>
      </c>
      <c r="F286" s="304">
        <f t="shared" ca="1" si="126"/>
        <v>10.328545583096552</v>
      </c>
      <c r="G286" s="306">
        <f t="shared" ca="1" si="127"/>
        <v>21.053132708431367</v>
      </c>
      <c r="H286" s="307">
        <f t="shared" ca="1" si="128"/>
        <v>19.954479662861583</v>
      </c>
      <c r="I286" s="304">
        <f t="shared" ca="1" si="129"/>
        <v>29.007165588081495</v>
      </c>
      <c r="J286" s="306">
        <f t="shared" ca="1" si="130"/>
        <v>393.85555730336176</v>
      </c>
      <c r="K286" s="307">
        <f t="shared" ca="1" si="131"/>
        <v>1446.2900901420362</v>
      </c>
      <c r="L286" s="304">
        <f t="shared" ca="1" si="116"/>
        <v>1498.9587135280949</v>
      </c>
      <c r="M286" s="306">
        <f t="shared" ca="1" si="132"/>
        <v>0.75861312932724545</v>
      </c>
      <c r="N286" s="304">
        <f t="shared" ca="1" si="133"/>
        <v>43.465330593663261</v>
      </c>
      <c r="P286" s="310">
        <f t="shared" ca="1" si="134"/>
        <v>23</v>
      </c>
      <c r="Q286" s="304">
        <f t="shared" ca="1" si="135"/>
        <v>0</v>
      </c>
      <c r="R286" s="306">
        <f t="shared" ca="1" si="136"/>
        <v>0</v>
      </c>
      <c r="S286" s="307">
        <f t="shared" ca="1" si="137"/>
        <v>2.6792999999999987</v>
      </c>
      <c r="T286" s="304">
        <f t="shared" ca="1" si="117"/>
        <v>26.283932999999987</v>
      </c>
      <c r="U286" s="311">
        <f t="shared" ca="1" si="118"/>
        <v>0</v>
      </c>
      <c r="V286" s="306">
        <f t="shared" ca="1" si="119"/>
        <v>1.0597774507406881</v>
      </c>
      <c r="W286" s="304">
        <f t="shared" ca="1" si="120"/>
        <v>1.8259888964959015</v>
      </c>
      <c r="Y286" s="314" t="str">
        <f t="shared" ca="1" si="138"/>
        <v/>
      </c>
      <c r="Z286" s="315" t="str">
        <f t="shared" ca="1" si="139"/>
        <v/>
      </c>
      <c r="AA286" s="316" t="str">
        <f t="shared" ca="1" si="140"/>
        <v/>
      </c>
      <c r="AC286" s="310" t="e">
        <f t="shared" ca="1" si="141"/>
        <v>#N/A</v>
      </c>
      <c r="AD286" s="323" t="e">
        <f t="shared" ca="1" si="142"/>
        <v>#N/A</v>
      </c>
      <c r="AE286" s="324">
        <f t="shared" ca="1" si="121"/>
        <v>1446.2900901420362</v>
      </c>
      <c r="AG286" s="306">
        <f t="shared" ca="1" si="143"/>
        <v>-7.6348641272252662</v>
      </c>
      <c r="AH286" s="304">
        <f t="shared" ca="1" si="144"/>
        <v>-0.7176105986137874</v>
      </c>
    </row>
    <row r="287" spans="1:34" x14ac:dyDescent="0.2">
      <c r="A287" s="347">
        <f t="shared" ca="1" si="122"/>
        <v>0.1</v>
      </c>
      <c r="B287" s="304">
        <f t="shared" ca="1" si="123"/>
        <v>13.499999999999929</v>
      </c>
      <c r="D287" s="306">
        <f t="shared" ca="1" si="124"/>
        <v>-0.49463884814800474</v>
      </c>
      <c r="E287" s="307">
        <f t="shared" ca="1" si="125"/>
        <v>-10.278826229926239</v>
      </c>
      <c r="F287" s="304">
        <f t="shared" ca="1" si="126"/>
        <v>10.290720881217061</v>
      </c>
      <c r="G287" s="306">
        <f t="shared" ca="1" si="127"/>
        <v>21.003668823616565</v>
      </c>
      <c r="H287" s="307">
        <f t="shared" ca="1" si="128"/>
        <v>18.926597039868959</v>
      </c>
      <c r="I287" s="304">
        <f t="shared" ca="1" si="129"/>
        <v>28.273135297694505</v>
      </c>
      <c r="J287" s="306">
        <f t="shared" ca="1" si="130"/>
        <v>395.95839737996414</v>
      </c>
      <c r="K287" s="307">
        <f t="shared" ca="1" si="131"/>
        <v>1448.2341439771728</v>
      </c>
      <c r="L287" s="304">
        <f t="shared" ca="1" si="116"/>
        <v>1501.3877541251643</v>
      </c>
      <c r="M287" s="306">
        <f t="shared" ca="1" si="132"/>
        <v>0.73342752454528914</v>
      </c>
      <c r="N287" s="304">
        <f t="shared" ca="1" si="133"/>
        <v>42.022301735172661</v>
      </c>
      <c r="P287" s="310">
        <f t="shared" ca="1" si="134"/>
        <v>23</v>
      </c>
      <c r="Q287" s="304">
        <f t="shared" ca="1" si="135"/>
        <v>0</v>
      </c>
      <c r="R287" s="306">
        <f t="shared" ca="1" si="136"/>
        <v>0</v>
      </c>
      <c r="S287" s="307">
        <f t="shared" ca="1" si="137"/>
        <v>2.6792999999999987</v>
      </c>
      <c r="T287" s="304">
        <f t="shared" ca="1" si="117"/>
        <v>26.283932999999987</v>
      </c>
      <c r="U287" s="311">
        <f t="shared" ca="1" si="118"/>
        <v>0</v>
      </c>
      <c r="V287" s="306">
        <f t="shared" ca="1" si="119"/>
        <v>1.0595703600153754</v>
      </c>
      <c r="W287" s="304">
        <f t="shared" ca="1" si="120"/>
        <v>1.7344053853523851</v>
      </c>
      <c r="Y287" s="314" t="str">
        <f t="shared" ca="1" si="138"/>
        <v/>
      </c>
      <c r="Z287" s="315" t="str">
        <f t="shared" ca="1" si="139"/>
        <v/>
      </c>
      <c r="AA287" s="316" t="str">
        <f t="shared" ca="1" si="140"/>
        <v/>
      </c>
      <c r="AC287" s="310" t="e">
        <f t="shared" ca="1" si="141"/>
        <v>#N/A</v>
      </c>
      <c r="AD287" s="323" t="e">
        <f t="shared" ca="1" si="142"/>
        <v>#N/A</v>
      </c>
      <c r="AE287" s="324">
        <f t="shared" ca="1" si="121"/>
        <v>1448.2341439771728</v>
      </c>
      <c r="AG287" s="306">
        <f t="shared" ca="1" si="143"/>
        <v>-7.4299684890450308</v>
      </c>
      <c r="AH287" s="304">
        <f t="shared" ca="1" si="144"/>
        <v>-0.68151714869402547</v>
      </c>
    </row>
    <row r="288" spans="1:34" x14ac:dyDescent="0.2">
      <c r="A288" s="347">
        <f t="shared" ca="1" si="122"/>
        <v>0.1</v>
      </c>
      <c r="B288" s="304">
        <f t="shared" ca="1" si="123"/>
        <v>13.599999999999929</v>
      </c>
      <c r="D288" s="306">
        <f t="shared" ca="1" si="124"/>
        <v>-0.48089521936176255</v>
      </c>
      <c r="E288" s="307">
        <f t="shared" ca="1" si="125"/>
        <v>-10.243339056699728</v>
      </c>
      <c r="F288" s="304">
        <f t="shared" ca="1" si="126"/>
        <v>10.254621165236436</v>
      </c>
      <c r="G288" s="306">
        <f t="shared" ca="1" si="127"/>
        <v>20.955579301680388</v>
      </c>
      <c r="H288" s="307">
        <f t="shared" ca="1" si="128"/>
        <v>17.902263134198986</v>
      </c>
      <c r="I288" s="304">
        <f t="shared" ca="1" si="129"/>
        <v>27.561337579934609</v>
      </c>
      <c r="J288" s="306">
        <f t="shared" ca="1" si="130"/>
        <v>398.056359786229</v>
      </c>
      <c r="K288" s="307">
        <f t="shared" ca="1" si="131"/>
        <v>1450.0755869858763</v>
      </c>
      <c r="L288" s="304">
        <f t="shared" ca="1" si="116"/>
        <v>1503.7180831321732</v>
      </c>
      <c r="M288" s="306">
        <f t="shared" ca="1" si="132"/>
        <v>0.70698270988590761</v>
      </c>
      <c r="N288" s="304">
        <f t="shared" ca="1" si="133"/>
        <v>40.507125465184409</v>
      </c>
      <c r="P288" s="310">
        <f t="shared" ca="1" si="134"/>
        <v>23</v>
      </c>
      <c r="Q288" s="304">
        <f t="shared" ca="1" si="135"/>
        <v>0</v>
      </c>
      <c r="R288" s="306">
        <f t="shared" ca="1" si="136"/>
        <v>0</v>
      </c>
      <c r="S288" s="307">
        <f t="shared" ca="1" si="137"/>
        <v>2.6792999999999987</v>
      </c>
      <c r="T288" s="304">
        <f t="shared" ca="1" si="117"/>
        <v>26.283932999999987</v>
      </c>
      <c r="U288" s="311">
        <f t="shared" ca="1" si="118"/>
        <v>0</v>
      </c>
      <c r="V288" s="306">
        <f t="shared" ca="1" si="119"/>
        <v>1.0593742345471795</v>
      </c>
      <c r="W288" s="304">
        <f t="shared" ca="1" si="120"/>
        <v>1.6478696553565653</v>
      </c>
      <c r="Y288" s="314" t="str">
        <f t="shared" ca="1" si="138"/>
        <v/>
      </c>
      <c r="Z288" s="315" t="str">
        <f t="shared" ca="1" si="139"/>
        <v/>
      </c>
      <c r="AA288" s="316" t="str">
        <f t="shared" ca="1" si="140"/>
        <v/>
      </c>
      <c r="AC288" s="310" t="e">
        <f t="shared" ca="1" si="141"/>
        <v>#N/A</v>
      </c>
      <c r="AD288" s="323" t="e">
        <f t="shared" ca="1" si="142"/>
        <v>#N/A</v>
      </c>
      <c r="AE288" s="324">
        <f t="shared" ca="1" si="121"/>
        <v>1450.0755869858763</v>
      </c>
      <c r="AG288" s="306">
        <f t="shared" ca="1" si="143"/>
        <v>-7.2143436674981949</v>
      </c>
      <c r="AH288" s="304">
        <f t="shared" ca="1" si="144"/>
        <v>-0.64733526867181201</v>
      </c>
    </row>
    <row r="289" spans="1:34" x14ac:dyDescent="0.2">
      <c r="A289" s="347">
        <f t="shared" ca="1" si="122"/>
        <v>0.1</v>
      </c>
      <c r="B289" s="304">
        <f t="shared" ca="1" si="123"/>
        <v>13.699999999999928</v>
      </c>
      <c r="D289" s="306">
        <f t="shared" ca="1" si="124"/>
        <v>-0.46762841524401838</v>
      </c>
      <c r="E289" s="307">
        <f t="shared" ca="1" si="125"/>
        <v>-10.209492985529424</v>
      </c>
      <c r="F289" s="304">
        <f t="shared" ca="1" si="126"/>
        <v>10.220196835497747</v>
      </c>
      <c r="G289" s="306">
        <f t="shared" ca="1" si="127"/>
        <v>20.908816460155986</v>
      </c>
      <c r="H289" s="307">
        <f t="shared" ca="1" si="128"/>
        <v>16.881313835646043</v>
      </c>
      <c r="I289" s="304">
        <f t="shared" ca="1" si="129"/>
        <v>26.872985739996672</v>
      </c>
      <c r="J289" s="306">
        <f t="shared" ca="1" si="130"/>
        <v>400.1495795743208</v>
      </c>
      <c r="K289" s="307">
        <f t="shared" ca="1" si="131"/>
        <v>1451.8147658343685</v>
      </c>
      <c r="L289" s="304">
        <f t="shared" ca="1" si="116"/>
        <v>1505.9501320854577</v>
      </c>
      <c r="M289" s="306">
        <f t="shared" ca="1" si="132"/>
        <v>0.67922342691440685</v>
      </c>
      <c r="N289" s="304">
        <f t="shared" ca="1" si="133"/>
        <v>38.916635708608041</v>
      </c>
      <c r="P289" s="310">
        <f t="shared" ca="1" si="134"/>
        <v>23</v>
      </c>
      <c r="Q289" s="304">
        <f t="shared" ca="1" si="135"/>
        <v>0</v>
      </c>
      <c r="R289" s="306">
        <f t="shared" ca="1" si="136"/>
        <v>0</v>
      </c>
      <c r="S289" s="307">
        <f t="shared" ca="1" si="137"/>
        <v>2.6792999999999987</v>
      </c>
      <c r="T289" s="304">
        <f t="shared" ca="1" si="117"/>
        <v>26.283932999999987</v>
      </c>
      <c r="U289" s="311">
        <f t="shared" ca="1" si="118"/>
        <v>0</v>
      </c>
      <c r="V289" s="306">
        <f t="shared" ca="1" si="119"/>
        <v>1.0591890317848893</v>
      </c>
      <c r="W289" s="304">
        <f t="shared" ca="1" si="120"/>
        <v>1.5663116842065437</v>
      </c>
      <c r="Y289" s="314" t="str">
        <f t="shared" ca="1" si="138"/>
        <v/>
      </c>
      <c r="Z289" s="315" t="str">
        <f t="shared" ca="1" si="139"/>
        <v/>
      </c>
      <c r="AA289" s="316" t="str">
        <f t="shared" ca="1" si="140"/>
        <v/>
      </c>
      <c r="AC289" s="310" t="e">
        <f t="shared" ca="1" si="141"/>
        <v>#N/A</v>
      </c>
      <c r="AD289" s="323" t="e">
        <f t="shared" ca="1" si="142"/>
        <v>#N/A</v>
      </c>
      <c r="AE289" s="324">
        <f t="shared" ca="1" si="121"/>
        <v>1451.8147658343685</v>
      </c>
      <c r="AG289" s="306">
        <f t="shared" ca="1" si="143"/>
        <v>-6.9870503807939137</v>
      </c>
      <c r="AH289" s="304">
        <f t="shared" ca="1" si="144"/>
        <v>-0.61503738116544104</v>
      </c>
    </row>
    <row r="290" spans="1:34" x14ac:dyDescent="0.2">
      <c r="A290" s="347">
        <f t="shared" ca="1" si="122"/>
        <v>0.1</v>
      </c>
      <c r="B290" s="304">
        <f t="shared" ca="1" si="123"/>
        <v>13.799999999999928</v>
      </c>
      <c r="D290" s="306">
        <f t="shared" ca="1" si="124"/>
        <v>-0.45485227605393064</v>
      </c>
      <c r="E290" s="307">
        <f t="shared" ca="1" si="125"/>
        <v>-10.177237621295138</v>
      </c>
      <c r="F290" s="304">
        <f t="shared" ca="1" si="126"/>
        <v>10.187396929212907</v>
      </c>
      <c r="G290" s="306">
        <f t="shared" ca="1" si="127"/>
        <v>20.863331232550593</v>
      </c>
      <c r="H290" s="307">
        <f t="shared" ca="1" si="128"/>
        <v>15.86359007351653</v>
      </c>
      <c r="I290" s="304">
        <f t="shared" ca="1" si="129"/>
        <v>26.209389159987936</v>
      </c>
      <c r="J290" s="306">
        <f t="shared" ca="1" si="130"/>
        <v>402.23818695895613</v>
      </c>
      <c r="K290" s="307">
        <f t="shared" ca="1" si="131"/>
        <v>1453.4520110298265</v>
      </c>
      <c r="L290" s="304">
        <f t="shared" ca="1" si="116"/>
        <v>1508.084317077356</v>
      </c>
      <c r="M290" s="306">
        <f t="shared" ca="1" si="132"/>
        <v>0.65009701119056429</v>
      </c>
      <c r="N290" s="304">
        <f t="shared" ca="1" si="133"/>
        <v>37.247815015288381</v>
      </c>
      <c r="P290" s="310">
        <f t="shared" ca="1" si="134"/>
        <v>23</v>
      </c>
      <c r="Q290" s="304">
        <f t="shared" ca="1" si="135"/>
        <v>0</v>
      </c>
      <c r="R290" s="306">
        <f t="shared" ca="1" si="136"/>
        <v>0</v>
      </c>
      <c r="S290" s="307">
        <f t="shared" ca="1" si="137"/>
        <v>2.6792999999999987</v>
      </c>
      <c r="T290" s="304">
        <f t="shared" ca="1" si="117"/>
        <v>26.283932999999987</v>
      </c>
      <c r="U290" s="311">
        <f t="shared" ca="1" si="118"/>
        <v>0</v>
      </c>
      <c r="V290" s="306">
        <f t="shared" ca="1" si="119"/>
        <v>1.0590147112365749</v>
      </c>
      <c r="W290" s="304">
        <f t="shared" ca="1" si="120"/>
        <v>1.4896651617853067</v>
      </c>
      <c r="Y290" s="314" t="str">
        <f t="shared" ca="1" si="138"/>
        <v/>
      </c>
      <c r="Z290" s="315" t="str">
        <f t="shared" ca="1" si="139"/>
        <v/>
      </c>
      <c r="AA290" s="316" t="str">
        <f t="shared" ca="1" si="140"/>
        <v/>
      </c>
      <c r="AC290" s="310" t="e">
        <f t="shared" ca="1" si="141"/>
        <v>#N/A</v>
      </c>
      <c r="AD290" s="323" t="e">
        <f t="shared" ca="1" si="142"/>
        <v>#N/A</v>
      </c>
      <c r="AE290" s="324">
        <f t="shared" ca="1" si="121"/>
        <v>1453.4520110298265</v>
      </c>
      <c r="AG290" s="306">
        <f t="shared" ca="1" si="143"/>
        <v>-6.7471313673813356</v>
      </c>
      <c r="AH290" s="304">
        <f t="shared" ca="1" si="144"/>
        <v>-0.58459735162413484</v>
      </c>
    </row>
    <row r="291" spans="1:34" x14ac:dyDescent="0.2">
      <c r="A291" s="347">
        <f t="shared" ca="1" si="122"/>
        <v>0.1</v>
      </c>
      <c r="B291" s="304">
        <f t="shared" ca="1" si="123"/>
        <v>13.899999999999928</v>
      </c>
      <c r="D291" s="306">
        <f t="shared" ca="1" si="124"/>
        <v>-0.44258233006989584</v>
      </c>
      <c r="E291" s="307">
        <f t="shared" ca="1" si="125"/>
        <v>-10.146520787584327</v>
      </c>
      <c r="F291" s="304">
        <f t="shared" ca="1" si="126"/>
        <v>10.156168727023541</v>
      </c>
      <c r="G291" s="306">
        <f t="shared" ca="1" si="127"/>
        <v>20.819072999543604</v>
      </c>
      <c r="H291" s="307">
        <f t="shared" ca="1" si="128"/>
        <v>14.848937994758098</v>
      </c>
      <c r="I291" s="304">
        <f t="shared" ca="1" si="129"/>
        <v>25.571952606957804</v>
      </c>
      <c r="J291" s="306">
        <f t="shared" ca="1" si="130"/>
        <v>404.32230717056086</v>
      </c>
      <c r="K291" s="307">
        <f t="shared" ca="1" si="131"/>
        <v>1454.9876374332403</v>
      </c>
      <c r="L291" s="304">
        <f t="shared" ca="1" si="116"/>
        <v>1510.1210392413211</v>
      </c>
      <c r="M291" s="306">
        <f t="shared" ca="1" si="132"/>
        <v>0.61955487620256666</v>
      </c>
      <c r="N291" s="304">
        <f t="shared" ca="1" si="133"/>
        <v>35.497879583157271</v>
      </c>
      <c r="P291" s="310">
        <f t="shared" ca="1" si="134"/>
        <v>23</v>
      </c>
      <c r="Q291" s="304">
        <f t="shared" ca="1" si="135"/>
        <v>0</v>
      </c>
      <c r="R291" s="306">
        <f t="shared" ca="1" si="136"/>
        <v>0</v>
      </c>
      <c r="S291" s="307">
        <f t="shared" ca="1" si="137"/>
        <v>2.6792999999999987</v>
      </c>
      <c r="T291" s="304">
        <f t="shared" ca="1" si="117"/>
        <v>26.283932999999987</v>
      </c>
      <c r="U291" s="311">
        <f t="shared" ca="1" si="118"/>
        <v>0</v>
      </c>
      <c r="V291" s="306">
        <f t="shared" ca="1" si="119"/>
        <v>1.0588512344098508</v>
      </c>
      <c r="W291" s="304">
        <f t="shared" ca="1" si="120"/>
        <v>1.4178673386871776</v>
      </c>
      <c r="Y291" s="314" t="str">
        <f t="shared" ca="1" si="138"/>
        <v/>
      </c>
      <c r="Z291" s="315" t="str">
        <f t="shared" ca="1" si="139"/>
        <v/>
      </c>
      <c r="AA291" s="316" t="str">
        <f t="shared" ca="1" si="140"/>
        <v/>
      </c>
      <c r="AC291" s="310" t="e">
        <f t="shared" ca="1" si="141"/>
        <v>#N/A</v>
      </c>
      <c r="AD291" s="323" t="e">
        <f t="shared" ca="1" si="142"/>
        <v>#N/A</v>
      </c>
      <c r="AE291" s="324">
        <f t="shared" ca="1" si="121"/>
        <v>1454.9876374332403</v>
      </c>
      <c r="AG291" s="306">
        <f t="shared" ca="1" si="143"/>
        <v>-6.4936266601893005</v>
      </c>
      <c r="AH291" s="304">
        <f t="shared" ca="1" si="144"/>
        <v>-0.55599043100261536</v>
      </c>
    </row>
    <row r="292" spans="1:34" x14ac:dyDescent="0.2">
      <c r="A292" s="347">
        <f t="shared" ca="1" si="122"/>
        <v>0.1</v>
      </c>
      <c r="B292" s="304">
        <f t="shared" ca="1" si="123"/>
        <v>13.999999999999927</v>
      </c>
      <c r="D292" s="306">
        <f t="shared" ca="1" si="124"/>
        <v>-0.43083576819072766</v>
      </c>
      <c r="E292" s="307">
        <f t="shared" ca="1" si="125"/>
        <v>-10.117288110663157</v>
      </c>
      <c r="F292" s="304">
        <f t="shared" ca="1" si="126"/>
        <v>10.126457335777333</v>
      </c>
      <c r="G292" s="306">
        <f t="shared" ca="1" si="127"/>
        <v>20.775989422724532</v>
      </c>
      <c r="H292" s="307">
        <f t="shared" ca="1" si="128"/>
        <v>13.837209183691781</v>
      </c>
      <c r="I292" s="304">
        <f t="shared" ca="1" si="129"/>
        <v>24.962173272501854</v>
      </c>
      <c r="J292" s="306">
        <f t="shared" ca="1" si="130"/>
        <v>406.40206029167427</v>
      </c>
      <c r="K292" s="307">
        <f t="shared" ca="1" si="131"/>
        <v>1456.4219447921628</v>
      </c>
      <c r="L292" s="304">
        <f t="shared" ca="1" si="116"/>
        <v>1512.060685250927</v>
      </c>
      <c r="M292" s="306">
        <f t="shared" ca="1" si="132"/>
        <v>0.58755426775139019</v>
      </c>
      <c r="N292" s="304">
        <f t="shared" ca="1" si="133"/>
        <v>33.664379777054187</v>
      </c>
      <c r="P292" s="310">
        <f t="shared" ca="1" si="134"/>
        <v>23</v>
      </c>
      <c r="Q292" s="304">
        <f t="shared" ca="1" si="135"/>
        <v>0</v>
      </c>
      <c r="R292" s="306">
        <f t="shared" ca="1" si="136"/>
        <v>0</v>
      </c>
      <c r="S292" s="307">
        <f t="shared" ca="1" si="137"/>
        <v>2.6792999999999987</v>
      </c>
      <c r="T292" s="304">
        <f t="shared" ca="1" si="117"/>
        <v>26.283932999999987</v>
      </c>
      <c r="U292" s="311">
        <f t="shared" ca="1" si="118"/>
        <v>0</v>
      </c>
      <c r="V292" s="306">
        <f t="shared" ca="1" si="119"/>
        <v>1.0586985647503604</v>
      </c>
      <c r="W292" s="304">
        <f t="shared" ca="1" si="120"/>
        <v>1.3508588759258693</v>
      </c>
      <c r="Y292" s="314" t="str">
        <f t="shared" ca="1" si="138"/>
        <v/>
      </c>
      <c r="Z292" s="315" t="str">
        <f t="shared" ca="1" si="139"/>
        <v/>
      </c>
      <c r="AA292" s="316" t="str">
        <f t="shared" ca="1" si="140"/>
        <v/>
      </c>
      <c r="AC292" s="310">
        <f t="shared" ca="1" si="141"/>
        <v>13.999999999999927</v>
      </c>
      <c r="AD292" s="323">
        <f t="shared" ca="1" si="142"/>
        <v>406.40206029167427</v>
      </c>
      <c r="AE292" s="324">
        <f t="shared" ca="1" si="121"/>
        <v>1456.4219447921628</v>
      </c>
      <c r="AG292" s="306">
        <f t="shared" ca="1" si="143"/>
        <v>-6.2255936254082229</v>
      </c>
      <c r="AH292" s="304">
        <f t="shared" ca="1" si="144"/>
        <v>-0.52919319922635699</v>
      </c>
    </row>
    <row r="293" spans="1:34" x14ac:dyDescent="0.2">
      <c r="A293" s="347">
        <f t="shared" ca="1" si="122"/>
        <v>0.1</v>
      </c>
      <c r="B293" s="304">
        <f t="shared" ca="1" si="123"/>
        <v>14.099999999999927</v>
      </c>
      <c r="D293" s="306">
        <f t="shared" ca="1" si="124"/>
        <v>-0.41963138136166045</v>
      </c>
      <c r="E293" s="307">
        <f t="shared" ca="1" si="125"/>
        <v>-10.089482583755638</v>
      </c>
      <c r="F293" s="304">
        <f t="shared" ca="1" si="126"/>
        <v>10.098205251634166</v>
      </c>
      <c r="G293" s="306">
        <f t="shared" ca="1" si="127"/>
        <v>20.734026284588367</v>
      </c>
      <c r="H293" s="307">
        <f t="shared" ca="1" si="128"/>
        <v>12.828260925316219</v>
      </c>
      <c r="I293" s="304">
        <f t="shared" ca="1" si="129"/>
        <v>24.38163498082104</v>
      </c>
      <c r="J293" s="306">
        <f t="shared" ca="1" si="130"/>
        <v>408.47756107703992</v>
      </c>
      <c r="K293" s="307">
        <f t="shared" ca="1" si="131"/>
        <v>1457.7552182976133</v>
      </c>
      <c r="L293" s="304">
        <f t="shared" ca="1" si="116"/>
        <v>1513.9036278367819</v>
      </c>
      <c r="M293" s="306">
        <f t="shared" ca="1" si="132"/>
        <v>0.55406029140496482</v>
      </c>
      <c r="N293" s="304">
        <f t="shared" ca="1" si="133"/>
        <v>31.745316293293005</v>
      </c>
      <c r="P293" s="310">
        <f t="shared" ca="1" si="134"/>
        <v>23</v>
      </c>
      <c r="Q293" s="304">
        <f t="shared" ca="1" si="135"/>
        <v>0</v>
      </c>
      <c r="R293" s="306">
        <f t="shared" ca="1" si="136"/>
        <v>0</v>
      </c>
      <c r="S293" s="307">
        <f t="shared" ca="1" si="137"/>
        <v>2.6792999999999987</v>
      </c>
      <c r="T293" s="304">
        <f t="shared" ca="1" si="117"/>
        <v>26.283932999999987</v>
      </c>
      <c r="U293" s="311">
        <f t="shared" ca="1" si="118"/>
        <v>0</v>
      </c>
      <c r="V293" s="306">
        <f t="shared" ca="1" si="119"/>
        <v>1.0585566675779936</v>
      </c>
      <c r="W293" s="304">
        <f t="shared" ca="1" si="120"/>
        <v>1.2885836948676792</v>
      </c>
      <c r="Y293" s="314" t="str">
        <f t="shared" ca="1" si="138"/>
        <v/>
      </c>
      <c r="Z293" s="315" t="str">
        <f t="shared" ca="1" si="139"/>
        <v/>
      </c>
      <c r="AA293" s="316" t="str">
        <f t="shared" ca="1" si="140"/>
        <v/>
      </c>
      <c r="AC293" s="310" t="e">
        <f t="shared" ca="1" si="141"/>
        <v>#N/A</v>
      </c>
      <c r="AD293" s="323" t="e">
        <f t="shared" ca="1" si="142"/>
        <v>#N/A</v>
      </c>
      <c r="AE293" s="324">
        <f t="shared" ca="1" si="121"/>
        <v>1457.7552182976133</v>
      </c>
      <c r="AG293" s="306">
        <f t="shared" ca="1" si="143"/>
        <v>-5.9421323851898968</v>
      </c>
      <c r="AH293" s="304">
        <f t="shared" ca="1" si="144"/>
        <v>-0.50418350909785015</v>
      </c>
    </row>
    <row r="294" spans="1:34" x14ac:dyDescent="0.2">
      <c r="A294" s="347">
        <f t="shared" ca="1" si="122"/>
        <v>0.1</v>
      </c>
      <c r="B294" s="304">
        <f t="shared" ca="1" si="123"/>
        <v>14.199999999999926</v>
      </c>
      <c r="D294" s="306">
        <f t="shared" ca="1" si="124"/>
        <v>-0.40898945172190987</v>
      </c>
      <c r="E294" s="307">
        <f t="shared" ca="1" si="125"/>
        <v>-10.063044118415656</v>
      </c>
      <c r="F294" s="304">
        <f t="shared" ca="1" si="126"/>
        <v>10.071351910284919</v>
      </c>
      <c r="G294" s="306">
        <f t="shared" ca="1" si="127"/>
        <v>20.693127339416176</v>
      </c>
      <c r="H294" s="307">
        <f t="shared" ca="1" si="128"/>
        <v>11.821956513474653</v>
      </c>
      <c r="I294" s="304">
        <f t="shared" ca="1" si="129"/>
        <v>23.831998969699939</v>
      </c>
      <c r="J294" s="306">
        <f t="shared" ca="1" si="130"/>
        <v>410.54891875824018</v>
      </c>
      <c r="K294" s="307">
        <f t="shared" ca="1" si="131"/>
        <v>1458.9877291695527</v>
      </c>
      <c r="L294" s="304">
        <f t="shared" ca="1" si="116"/>
        <v>1515.650226325615</v>
      </c>
      <c r="M294" s="306">
        <f t="shared" ca="1" si="132"/>
        <v>0.51904819714987238</v>
      </c>
      <c r="N294" s="304">
        <f t="shared" ca="1" si="133"/>
        <v>29.739271060561972</v>
      </c>
      <c r="P294" s="310">
        <f t="shared" ca="1" si="134"/>
        <v>23</v>
      </c>
      <c r="Q294" s="304">
        <f t="shared" ca="1" si="135"/>
        <v>0</v>
      </c>
      <c r="R294" s="306">
        <f t="shared" ca="1" si="136"/>
        <v>0</v>
      </c>
      <c r="S294" s="307">
        <f t="shared" ca="1" si="137"/>
        <v>2.6792999999999987</v>
      </c>
      <c r="T294" s="304">
        <f t="shared" ca="1" si="117"/>
        <v>26.283932999999987</v>
      </c>
      <c r="U294" s="311">
        <f t="shared" ca="1" si="118"/>
        <v>0</v>
      </c>
      <c r="V294" s="306">
        <f t="shared" ca="1" si="119"/>
        <v>1.0584255100203774</v>
      </c>
      <c r="W294" s="304">
        <f t="shared" ca="1" si="120"/>
        <v>1.2309888264222557</v>
      </c>
      <c r="Y294" s="314" t="str">
        <f t="shared" ca="1" si="138"/>
        <v/>
      </c>
      <c r="Z294" s="315" t="str">
        <f t="shared" ca="1" si="139"/>
        <v/>
      </c>
      <c r="AA294" s="316" t="str">
        <f t="shared" ca="1" si="140"/>
        <v/>
      </c>
      <c r="AC294" s="310" t="e">
        <f t="shared" ca="1" si="141"/>
        <v>#N/A</v>
      </c>
      <c r="AD294" s="323" t="e">
        <f t="shared" ca="1" si="142"/>
        <v>#N/A</v>
      </c>
      <c r="AE294" s="324">
        <f t="shared" ca="1" si="121"/>
        <v>1458.9877291695527</v>
      </c>
      <c r="AG294" s="306">
        <f t="shared" ca="1" si="143"/>
        <v>-5.6424170817232664</v>
      </c>
      <c r="AH294" s="304">
        <f t="shared" ca="1" si="144"/>
        <v>-0.48094043028689576</v>
      </c>
    </row>
    <row r="295" spans="1:34" x14ac:dyDescent="0.2">
      <c r="A295" s="347">
        <f t="shared" ca="1" si="122"/>
        <v>0.1</v>
      </c>
      <c r="B295" s="304">
        <f t="shared" ca="1" si="123"/>
        <v>14.299999999999926</v>
      </c>
      <c r="D295" s="306">
        <f t="shared" ca="1" si="124"/>
        <v>-0.39893158790827138</v>
      </c>
      <c r="E295" s="307">
        <f t="shared" ca="1" si="125"/>
        <v>-10.037909093040746</v>
      </c>
      <c r="F295" s="304">
        <f t="shared" ca="1" si="126"/>
        <v>10.045833234330596</v>
      </c>
      <c r="G295" s="306">
        <f t="shared" ca="1" si="127"/>
        <v>20.653234180625347</v>
      </c>
      <c r="H295" s="307">
        <f t="shared" ca="1" si="128"/>
        <v>10.818165604170579</v>
      </c>
      <c r="I295" s="304">
        <f t="shared" ca="1" si="129"/>
        <v>23.314990653204443</v>
      </c>
      <c r="J295" s="306">
        <f t="shared" ca="1" si="130"/>
        <v>412.61623683424227</v>
      </c>
      <c r="K295" s="307">
        <f t="shared" ca="1" si="131"/>
        <v>1460.119735275435</v>
      </c>
      <c r="L295" s="304">
        <f t="shared" ca="1" si="116"/>
        <v>1517.3008272060151</v>
      </c>
      <c r="M295" s="306">
        <f t="shared" ca="1" si="132"/>
        <v>0.48250588020836088</v>
      </c>
      <c r="N295" s="304">
        <f t="shared" ca="1" si="133"/>
        <v>27.645550526183957</v>
      </c>
      <c r="P295" s="310">
        <f t="shared" ca="1" si="134"/>
        <v>23</v>
      </c>
      <c r="Q295" s="304">
        <f t="shared" ca="1" si="135"/>
        <v>0</v>
      </c>
      <c r="R295" s="306">
        <f t="shared" ca="1" si="136"/>
        <v>0</v>
      </c>
      <c r="S295" s="307">
        <f t="shared" ca="1" si="137"/>
        <v>2.6792999999999987</v>
      </c>
      <c r="T295" s="304">
        <f t="shared" ca="1" si="117"/>
        <v>26.283932999999987</v>
      </c>
      <c r="U295" s="311">
        <f t="shared" ca="1" si="118"/>
        <v>0</v>
      </c>
      <c r="V295" s="306">
        <f t="shared" ca="1" si="119"/>
        <v>1.0583050609431326</v>
      </c>
      <c r="W295" s="304">
        <f t="shared" ca="1" si="120"/>
        <v>1.1780242585257157</v>
      </c>
      <c r="Y295" s="314" t="str">
        <f t="shared" ca="1" si="138"/>
        <v/>
      </c>
      <c r="Z295" s="315" t="str">
        <f t="shared" ca="1" si="139"/>
        <v/>
      </c>
      <c r="AA295" s="316" t="str">
        <f t="shared" ca="1" si="140"/>
        <v/>
      </c>
      <c r="AC295" s="310" t="e">
        <f t="shared" ca="1" si="141"/>
        <v>#N/A</v>
      </c>
      <c r="AD295" s="323" t="e">
        <f t="shared" ca="1" si="142"/>
        <v>#N/A</v>
      </c>
      <c r="AE295" s="324">
        <f t="shared" ca="1" si="121"/>
        <v>1460.119735275435</v>
      </c>
      <c r="AG295" s="306">
        <f t="shared" ca="1" si="143"/>
        <v>-5.3257331495276947</v>
      </c>
      <c r="AH295" s="304">
        <f t="shared" ca="1" si="144"/>
        <v>-0.45944419304380113</v>
      </c>
    </row>
    <row r="296" spans="1:34" x14ac:dyDescent="0.2">
      <c r="A296" s="347">
        <f t="shared" ca="1" si="122"/>
        <v>0.1</v>
      </c>
      <c r="B296" s="304">
        <f t="shared" ca="1" si="123"/>
        <v>14.399999999999926</v>
      </c>
      <c r="D296" s="306">
        <f t="shared" ca="1" si="124"/>
        <v>-0.38948049509985849</v>
      </c>
      <c r="E296" s="307">
        <f t="shared" ca="1" si="125"/>
        <v>-10.014009912381532</v>
      </c>
      <c r="F296" s="304">
        <f t="shared" ca="1" si="126"/>
        <v>10.021581191675233</v>
      </c>
      <c r="G296" s="306">
        <f t="shared" ca="1" si="127"/>
        <v>20.61428613111536</v>
      </c>
      <c r="H296" s="307">
        <f t="shared" ca="1" si="128"/>
        <v>9.8167646129324257</v>
      </c>
      <c r="I296" s="304">
        <f t="shared" ca="1" si="129"/>
        <v>22.832381832853475</v>
      </c>
      <c r="J296" s="306">
        <f t="shared" ca="1" si="130"/>
        <v>414.67961284982931</v>
      </c>
      <c r="K296" s="307">
        <f t="shared" ca="1" si="131"/>
        <v>1461.1514817862901</v>
      </c>
      <c r="L296" s="304">
        <f t="shared" ca="1" si="116"/>
        <v>1518.855764725392</v>
      </c>
      <c r="M296" s="306">
        <f t="shared" ca="1" si="132"/>
        <v>0.44443652513455717</v>
      </c>
      <c r="N296" s="304">
        <f t="shared" ca="1" si="133"/>
        <v>25.464337151670058</v>
      </c>
      <c r="P296" s="310">
        <f t="shared" ca="1" si="134"/>
        <v>23</v>
      </c>
      <c r="Q296" s="304">
        <f t="shared" ca="1" si="135"/>
        <v>0</v>
      </c>
      <c r="R296" s="306">
        <f t="shared" ca="1" si="136"/>
        <v>0</v>
      </c>
      <c r="S296" s="307">
        <f t="shared" ca="1" si="137"/>
        <v>2.6792999999999987</v>
      </c>
      <c r="T296" s="304">
        <f t="shared" ca="1" si="117"/>
        <v>26.283932999999987</v>
      </c>
      <c r="U296" s="311">
        <f t="shared" ca="1" si="118"/>
        <v>0</v>
      </c>
      <c r="V296" s="306">
        <f t="shared" ca="1" si="119"/>
        <v>1.0581952908764218</v>
      </c>
      <c r="W296" s="304">
        <f t="shared" ca="1" si="120"/>
        <v>1.1296427809731218</v>
      </c>
      <c r="Y296" s="314" t="str">
        <f t="shared" ca="1" si="138"/>
        <v/>
      </c>
      <c r="Z296" s="315" t="str">
        <f t="shared" ca="1" si="139"/>
        <v/>
      </c>
      <c r="AA296" s="316" t="str">
        <f t="shared" ca="1" si="140"/>
        <v/>
      </c>
      <c r="AC296" s="310" t="e">
        <f t="shared" ca="1" si="141"/>
        <v>#N/A</v>
      </c>
      <c r="AD296" s="323" t="e">
        <f t="shared" ca="1" si="142"/>
        <v>#N/A</v>
      </c>
      <c r="AE296" s="324">
        <f t="shared" ca="1" si="121"/>
        <v>1461.1514817862901</v>
      </c>
      <c r="AG296" s="306">
        <f t="shared" ca="1" si="143"/>
        <v>-4.9915203140790174</v>
      </c>
      <c r="AH296" s="304">
        <f t="shared" ca="1" si="144"/>
        <v>-0.4396761312752272</v>
      </c>
    </row>
    <row r="297" spans="1:34" x14ac:dyDescent="0.2">
      <c r="A297" s="347">
        <f t="shared" ca="1" si="122"/>
        <v>0.1</v>
      </c>
      <c r="B297" s="304">
        <f t="shared" ca="1" si="123"/>
        <v>14.499999999999925</v>
      </c>
      <c r="D297" s="306">
        <f t="shared" ca="1" si="124"/>
        <v>-0.38065967142504836</v>
      </c>
      <c r="E297" s="307">
        <f t="shared" ca="1" si="125"/>
        <v>-9.9912745960858427</v>
      </c>
      <c r="F297" s="304">
        <f t="shared" ca="1" si="126"/>
        <v>9.9985233829720936</v>
      </c>
      <c r="G297" s="306">
        <f t="shared" ca="1" si="127"/>
        <v>20.576220163972856</v>
      </c>
      <c r="H297" s="307">
        <f t="shared" ca="1" si="128"/>
        <v>8.817637153323842</v>
      </c>
      <c r="I297" s="304">
        <f t="shared" ca="1" si="129"/>
        <v>22.385967953250539</v>
      </c>
      <c r="J297" s="306">
        <f t="shared" ca="1" si="130"/>
        <v>416.73913816458372</v>
      </c>
      <c r="K297" s="307">
        <f t="shared" ca="1" si="131"/>
        <v>1462.083201874603</v>
      </c>
      <c r="L297" s="304">
        <f t="shared" ca="1" si="116"/>
        <v>1520.3153615227504</v>
      </c>
      <c r="M297" s="306">
        <f t="shared" ca="1" si="132"/>
        <v>0.40486128287222856</v>
      </c>
      <c r="N297" s="304">
        <f t="shared" ca="1" si="133"/>
        <v>23.196842796830861</v>
      </c>
      <c r="P297" s="310">
        <f t="shared" ca="1" si="134"/>
        <v>23</v>
      </c>
      <c r="Q297" s="304">
        <f t="shared" ca="1" si="135"/>
        <v>0</v>
      </c>
      <c r="R297" s="306">
        <f t="shared" ca="1" si="136"/>
        <v>0</v>
      </c>
      <c r="S297" s="307">
        <f t="shared" ca="1" si="137"/>
        <v>2.6792999999999987</v>
      </c>
      <c r="T297" s="304">
        <f t="shared" ca="1" si="117"/>
        <v>26.283932999999987</v>
      </c>
      <c r="U297" s="311">
        <f t="shared" ca="1" si="118"/>
        <v>0</v>
      </c>
      <c r="V297" s="306">
        <f t="shared" ca="1" si="119"/>
        <v>1.0580961719373123</v>
      </c>
      <c r="W297" s="304">
        <f t="shared" ca="1" si="120"/>
        <v>1.0857998267061217</v>
      </c>
      <c r="Y297" s="314" t="str">
        <f t="shared" ca="1" si="138"/>
        <v/>
      </c>
      <c r="Z297" s="315" t="str">
        <f t="shared" ca="1" si="139"/>
        <v/>
      </c>
      <c r="AA297" s="316" t="str">
        <f t="shared" ca="1" si="140"/>
        <v/>
      </c>
      <c r="AC297" s="310" t="e">
        <f t="shared" ca="1" si="141"/>
        <v>#N/A</v>
      </c>
      <c r="AD297" s="323" t="e">
        <f t="shared" ca="1" si="142"/>
        <v>#N/A</v>
      </c>
      <c r="AE297" s="324">
        <f t="shared" ca="1" si="121"/>
        <v>1462.083201874603</v>
      </c>
      <c r="AG297" s="306">
        <f t="shared" ca="1" si="143"/>
        <v>-4.6394204097383049</v>
      </c>
      <c r="AH297" s="304">
        <f t="shared" ca="1" si="144"/>
        <v>-0.4216186246307328</v>
      </c>
    </row>
    <row r="298" spans="1:34" x14ac:dyDescent="0.2">
      <c r="A298" s="347">
        <f t="shared" ca="1" si="122"/>
        <v>0.1</v>
      </c>
      <c r="B298" s="304">
        <f t="shared" ca="1" si="123"/>
        <v>14.599999999999925</v>
      </c>
      <c r="D298" s="306">
        <f t="shared" ca="1" si="124"/>
        <v>-0.372493024555209</v>
      </c>
      <c r="E298" s="307">
        <f t="shared" ca="1" si="125"/>
        <v>-9.9696264185791943</v>
      </c>
      <c r="F298" s="304">
        <f t="shared" ca="1" si="126"/>
        <v>9.9765826804259241</v>
      </c>
      <c r="G298" s="306">
        <f t="shared" ca="1" si="127"/>
        <v>20.538970861517335</v>
      </c>
      <c r="H298" s="307">
        <f t="shared" ca="1" si="128"/>
        <v>7.8206745114659224</v>
      </c>
      <c r="I298" s="304">
        <f t="shared" ca="1" si="129"/>
        <v>21.977540214149329</v>
      </c>
      <c r="J298" s="306">
        <f t="shared" ca="1" si="130"/>
        <v>418.79489771585821</v>
      </c>
      <c r="K298" s="307">
        <f t="shared" ca="1" si="131"/>
        <v>1462.9151174578424</v>
      </c>
      <c r="L298" s="304">
        <f t="shared" ca="1" si="116"/>
        <v>1521.6799293016677</v>
      </c>
      <c r="M298" s="306">
        <f t="shared" ca="1" si="132"/>
        <v>0.36382183017101777</v>
      </c>
      <c r="N298" s="304">
        <f t="shared" ca="1" si="133"/>
        <v>20.845455363524717</v>
      </c>
      <c r="P298" s="310">
        <f t="shared" ca="1" si="134"/>
        <v>23</v>
      </c>
      <c r="Q298" s="304">
        <f t="shared" ca="1" si="135"/>
        <v>0</v>
      </c>
      <c r="R298" s="306">
        <f t="shared" ca="1" si="136"/>
        <v>0</v>
      </c>
      <c r="S298" s="307">
        <f t="shared" ca="1" si="137"/>
        <v>2.6792999999999987</v>
      </c>
      <c r="T298" s="304">
        <f t="shared" ca="1" si="117"/>
        <v>26.283932999999987</v>
      </c>
      <c r="U298" s="311">
        <f t="shared" ca="1" si="118"/>
        <v>0</v>
      </c>
      <c r="V298" s="306">
        <f t="shared" ca="1" si="119"/>
        <v>1.05800767774754</v>
      </c>
      <c r="W298" s="304">
        <f t="shared" ca="1" si="120"/>
        <v>1.0464533087443939</v>
      </c>
      <c r="Y298" s="314" t="str">
        <f t="shared" ca="1" si="138"/>
        <v/>
      </c>
      <c r="Z298" s="315" t="str">
        <f t="shared" ca="1" si="139"/>
        <v/>
      </c>
      <c r="AA298" s="316" t="str">
        <f t="shared" ca="1" si="140"/>
        <v/>
      </c>
      <c r="AC298" s="310" t="e">
        <f t="shared" ca="1" si="141"/>
        <v>#N/A</v>
      </c>
      <c r="AD298" s="323" t="e">
        <f t="shared" ca="1" si="142"/>
        <v>#N/A</v>
      </c>
      <c r="AE298" s="324">
        <f t="shared" ca="1" si="121"/>
        <v>1462.9151174578424</v>
      </c>
      <c r="AG298" s="306">
        <f t="shared" ca="1" si="143"/>
        <v>-4.2693283129683621</v>
      </c>
      <c r="AH298" s="304">
        <f t="shared" ca="1" si="144"/>
        <v>-0.40525503926627188</v>
      </c>
    </row>
    <row r="299" spans="1:34" x14ac:dyDescent="0.2">
      <c r="A299" s="347">
        <f t="shared" ca="1" si="122"/>
        <v>0.1</v>
      </c>
      <c r="B299" s="304">
        <f t="shared" ca="1" si="123"/>
        <v>14.699999999999925</v>
      </c>
      <c r="D299" s="306">
        <f t="shared" ca="1" si="124"/>
        <v>-0.3650044059238074</v>
      </c>
      <c r="E299" s="307">
        <f t="shared" ca="1" si="125"/>
        <v>-9.9489836264546998</v>
      </c>
      <c r="F299" s="304">
        <f t="shared" ca="1" si="126"/>
        <v>9.9556769441262762</v>
      </c>
      <c r="G299" s="306">
        <f t="shared" ca="1" si="127"/>
        <v>20.502470420924954</v>
      </c>
      <c r="H299" s="307">
        <f t="shared" ca="1" si="128"/>
        <v>6.8257761488204522</v>
      </c>
      <c r="I299" s="304">
        <f t="shared" ca="1" si="129"/>
        <v>21.608852662617441</v>
      </c>
      <c r="J299" s="306">
        <f t="shared" ca="1" si="130"/>
        <v>420.84696977998033</v>
      </c>
      <c r="K299" s="307">
        <f t="shared" ca="1" si="131"/>
        <v>1463.6474399908566</v>
      </c>
      <c r="L299" s="304">
        <f t="shared" ca="1" si="116"/>
        <v>1522.9497695474988</v>
      </c>
      <c r="M299" s="306">
        <f t="shared" ca="1" si="132"/>
        <v>0.32138262229393438</v>
      </c>
      <c r="N299" s="304">
        <f t="shared" ca="1" si="133"/>
        <v>18.413867866289479</v>
      </c>
      <c r="P299" s="310">
        <f t="shared" ca="1" si="134"/>
        <v>23</v>
      </c>
      <c r="Q299" s="304">
        <f t="shared" ca="1" si="135"/>
        <v>0</v>
      </c>
      <c r="R299" s="306">
        <f t="shared" ca="1" si="136"/>
        <v>0</v>
      </c>
      <c r="S299" s="307">
        <f t="shared" ca="1" si="137"/>
        <v>2.6792999999999987</v>
      </c>
      <c r="T299" s="304">
        <f t="shared" ca="1" si="117"/>
        <v>26.283932999999987</v>
      </c>
      <c r="U299" s="311">
        <f t="shared" ca="1" si="118"/>
        <v>0</v>
      </c>
      <c r="V299" s="306">
        <f t="shared" ca="1" si="119"/>
        <v>1.0579297833463146</v>
      </c>
      <c r="W299" s="304">
        <f t="shared" ca="1" si="120"/>
        <v>1.0115634520731771</v>
      </c>
      <c r="Y299" s="314" t="str">
        <f t="shared" ca="1" si="138"/>
        <v/>
      </c>
      <c r="Z299" s="315" t="str">
        <f t="shared" ca="1" si="139"/>
        <v/>
      </c>
      <c r="AA299" s="316" t="str">
        <f t="shared" ca="1" si="140"/>
        <v/>
      </c>
      <c r="AC299" s="310" t="e">
        <f t="shared" ca="1" si="141"/>
        <v>#N/A</v>
      </c>
      <c r="AD299" s="323" t="e">
        <f t="shared" ca="1" si="142"/>
        <v>#N/A</v>
      </c>
      <c r="AE299" s="324">
        <f t="shared" ca="1" si="121"/>
        <v>1463.6474399908566</v>
      </c>
      <c r="AG299" s="306">
        <f t="shared" ca="1" si="143"/>
        <v>-3.8814433593929127</v>
      </c>
      <c r="AH299" s="304">
        <f t="shared" ca="1" si="144"/>
        <v>-0.39056966698182155</v>
      </c>
    </row>
    <row r="300" spans="1:34" x14ac:dyDescent="0.2">
      <c r="A300" s="347">
        <f t="shared" ca="1" si="122"/>
        <v>0.1</v>
      </c>
      <c r="B300" s="304">
        <f t="shared" ca="1" si="123"/>
        <v>14.799999999999924</v>
      </c>
      <c r="D300" s="306">
        <f t="shared" ca="1" si="124"/>
        <v>-0.35821706516626112</v>
      </c>
      <c r="E300" s="307">
        <f t="shared" ca="1" si="125"/>
        <v>-9.9292592623870757</v>
      </c>
      <c r="F300" s="304">
        <f t="shared" ca="1" si="126"/>
        <v>9.93571884492893</v>
      </c>
      <c r="G300" s="306">
        <f t="shared" ca="1" si="127"/>
        <v>20.466648714408329</v>
      </c>
      <c r="H300" s="307">
        <f t="shared" ca="1" si="128"/>
        <v>5.8328502225817447</v>
      </c>
      <c r="I300" s="304">
        <f t="shared" ca="1" si="129"/>
        <v>21.281584793385665</v>
      </c>
      <c r="J300" s="306">
        <f t="shared" ca="1" si="130"/>
        <v>422.89542573674697</v>
      </c>
      <c r="K300" s="307">
        <f t="shared" ca="1" si="131"/>
        <v>1464.2803713094268</v>
      </c>
      <c r="L300" s="304">
        <f t="shared" ca="1" si="116"/>
        <v>1524.12517429217</v>
      </c>
      <c r="M300" s="306">
        <f t="shared" ca="1" si="132"/>
        <v>0.27763261995337957</v>
      </c>
      <c r="N300" s="304">
        <f t="shared" ca="1" si="133"/>
        <v>15.907177378488216</v>
      </c>
      <c r="P300" s="310">
        <f t="shared" ca="1" si="134"/>
        <v>23</v>
      </c>
      <c r="Q300" s="304">
        <f t="shared" ca="1" si="135"/>
        <v>0</v>
      </c>
      <c r="R300" s="306">
        <f t="shared" ca="1" si="136"/>
        <v>0</v>
      </c>
      <c r="S300" s="307">
        <f t="shared" ca="1" si="137"/>
        <v>2.6792999999999987</v>
      </c>
      <c r="T300" s="304">
        <f t="shared" ca="1" si="117"/>
        <v>26.283932999999987</v>
      </c>
      <c r="U300" s="311">
        <f t="shared" ca="1" si="118"/>
        <v>0</v>
      </c>
      <c r="V300" s="306">
        <f t="shared" ca="1" si="119"/>
        <v>1.0578624650979047</v>
      </c>
      <c r="W300" s="304">
        <f t="shared" ca="1" si="120"/>
        <v>0.98109261996934294</v>
      </c>
      <c r="Y300" s="314" t="str">
        <f t="shared" ca="1" si="138"/>
        <v/>
      </c>
      <c r="Z300" s="315" t="str">
        <f t="shared" ca="1" si="139"/>
        <v/>
      </c>
      <c r="AA300" s="316" t="str">
        <f t="shared" ca="1" si="140"/>
        <v/>
      </c>
      <c r="AC300" s="310" t="e">
        <f t="shared" ca="1" si="141"/>
        <v>#N/A</v>
      </c>
      <c r="AD300" s="323" t="e">
        <f t="shared" ca="1" si="142"/>
        <v>#N/A</v>
      </c>
      <c r="AE300" s="324">
        <f t="shared" ca="1" si="121"/>
        <v>1464.2803713094268</v>
      </c>
      <c r="AG300" s="306">
        <f t="shared" ca="1" si="143"/>
        <v>-3.4763176464917875</v>
      </c>
      <c r="AH300" s="304">
        <f t="shared" ca="1" si="144"/>
        <v>-0.37754766247645938</v>
      </c>
    </row>
    <row r="301" spans="1:34" x14ac:dyDescent="0.2">
      <c r="A301" s="347">
        <f t="shared" ca="1" si="122"/>
        <v>0.1</v>
      </c>
      <c r="B301" s="304">
        <f t="shared" ca="1" si="123"/>
        <v>14.899999999999924</v>
      </c>
      <c r="D301" s="306">
        <f t="shared" ca="1" si="124"/>
        <v>-0.35215303401005615</v>
      </c>
      <c r="E301" s="307">
        <f t="shared" ca="1" si="125"/>
        <v>-9.9103611256278796</v>
      </c>
      <c r="F301" s="304">
        <f t="shared" ca="1" si="126"/>
        <v>9.9166158239451221</v>
      </c>
      <c r="G301" s="306">
        <f t="shared" ca="1" si="127"/>
        <v>20.431433411007323</v>
      </c>
      <c r="H301" s="307">
        <f t="shared" ca="1" si="128"/>
        <v>4.8418141100189569</v>
      </c>
      <c r="I301" s="304">
        <f t="shared" ca="1" si="129"/>
        <v>20.997300662332883</v>
      </c>
      <c r="J301" s="306">
        <f t="shared" ca="1" si="130"/>
        <v>424.94032984301776</v>
      </c>
      <c r="K301" s="307">
        <f t="shared" ca="1" si="131"/>
        <v>1464.8141045260568</v>
      </c>
      <c r="L301" s="304">
        <f t="shared" ca="1" si="116"/>
        <v>1525.2064269290129</v>
      </c>
      <c r="M301" s="306">
        <f t="shared" ca="1" si="132"/>
        <v>0.23268625797263351</v>
      </c>
      <c r="N301" s="304">
        <f t="shared" ca="1" si="133"/>
        <v>13.331940532524204</v>
      </c>
      <c r="P301" s="310">
        <f t="shared" ca="1" si="134"/>
        <v>23</v>
      </c>
      <c r="Q301" s="304">
        <f t="shared" ca="1" si="135"/>
        <v>0</v>
      </c>
      <c r="R301" s="306">
        <f t="shared" ca="1" si="136"/>
        <v>0</v>
      </c>
      <c r="S301" s="307">
        <f t="shared" ca="1" si="137"/>
        <v>2.6792999999999987</v>
      </c>
      <c r="T301" s="304">
        <f t="shared" ca="1" si="117"/>
        <v>26.283932999999987</v>
      </c>
      <c r="U301" s="311">
        <f t="shared" ca="1" si="118"/>
        <v>0</v>
      </c>
      <c r="V301" s="306">
        <f t="shared" ca="1" si="119"/>
        <v>1.0578057005938801</v>
      </c>
      <c r="W301" s="304">
        <f t="shared" ca="1" si="120"/>
        <v>0.95500513446816881</v>
      </c>
      <c r="Y301" s="314" t="str">
        <f t="shared" ca="1" si="138"/>
        <v/>
      </c>
      <c r="Z301" s="315" t="str">
        <f t="shared" ca="1" si="139"/>
        <v/>
      </c>
      <c r="AA301" s="316" t="str">
        <f t="shared" ca="1" si="140"/>
        <v/>
      </c>
      <c r="AC301" s="310" t="e">
        <f t="shared" ca="1" si="141"/>
        <v>#N/A</v>
      </c>
      <c r="AD301" s="323" t="e">
        <f t="shared" ca="1" si="142"/>
        <v>#N/A</v>
      </c>
      <c r="AE301" s="324">
        <f t="shared" ca="1" si="121"/>
        <v>1464.8141045260568</v>
      </c>
      <c r="AG301" s="306">
        <f t="shared" ca="1" si="143"/>
        <v>-3.0548967649480248</v>
      </c>
      <c r="AH301" s="304">
        <f t="shared" ca="1" si="144"/>
        <v>-0.36617497852772868</v>
      </c>
    </row>
    <row r="302" spans="1:34" x14ac:dyDescent="0.2">
      <c r="A302" s="347">
        <f t="shared" ca="1" si="122"/>
        <v>0.1</v>
      </c>
      <c r="B302" s="304">
        <f t="shared" ca="1" si="123"/>
        <v>14.999999999999924</v>
      </c>
      <c r="D302" s="306">
        <f t="shared" ca="1" si="124"/>
        <v>-0.34683245660672329</v>
      </c>
      <c r="E302" s="307">
        <f t="shared" ca="1" si="125"/>
        <v>-9.8921918975741701</v>
      </c>
      <c r="F302" s="304">
        <f t="shared" ca="1" si="126"/>
        <v>9.8982702171332893</v>
      </c>
      <c r="G302" s="306">
        <f t="shared" ca="1" si="127"/>
        <v>20.396750165346649</v>
      </c>
      <c r="H302" s="307">
        <f t="shared" ca="1" si="128"/>
        <v>3.8525949202615397</v>
      </c>
      <c r="I302" s="304">
        <f t="shared" ca="1" si="129"/>
        <v>20.75740602597525</v>
      </c>
      <c r="J302" s="306">
        <f t="shared" ca="1" si="130"/>
        <v>426.98173902183544</v>
      </c>
      <c r="K302" s="307">
        <f t="shared" ca="1" si="131"/>
        <v>1465.2488249775708</v>
      </c>
      <c r="L302" s="304">
        <f t="shared" ca="1" si="116"/>
        <v>1526.1938030788433</v>
      </c>
      <c r="M302" s="306">
        <f t="shared" ca="1" si="132"/>
        <v>0.18668343454991518</v>
      </c>
      <c r="N302" s="304">
        <f t="shared" ca="1" si="133"/>
        <v>10.696172904716875</v>
      </c>
      <c r="P302" s="310">
        <f t="shared" ca="1" si="134"/>
        <v>23</v>
      </c>
      <c r="Q302" s="304">
        <f t="shared" ca="1" si="135"/>
        <v>0</v>
      </c>
      <c r="R302" s="306">
        <f t="shared" ca="1" si="136"/>
        <v>0</v>
      </c>
      <c r="S302" s="307">
        <f t="shared" ca="1" si="137"/>
        <v>2.6792999999999987</v>
      </c>
      <c r="T302" s="304">
        <f t="shared" ca="1" si="117"/>
        <v>26.283932999999987</v>
      </c>
      <c r="U302" s="311">
        <f t="shared" ca="1" si="118"/>
        <v>0</v>
      </c>
      <c r="V302" s="306">
        <f t="shared" ca="1" si="119"/>
        <v>1.0577594685500322</v>
      </c>
      <c r="W302" s="304">
        <f t="shared" ca="1" si="120"/>
        <v>0.93326709094141247</v>
      </c>
      <c r="Y302" s="314" t="str">
        <f t="shared" ca="1" si="138"/>
        <v/>
      </c>
      <c r="Z302" s="315" t="str">
        <f t="shared" ca="1" si="139"/>
        <v/>
      </c>
      <c r="AA302" s="316" t="str">
        <f t="shared" ca="1" si="140"/>
        <v/>
      </c>
      <c r="AC302" s="310">
        <f t="shared" ca="1" si="141"/>
        <v>14.999999999999924</v>
      </c>
      <c r="AD302" s="323">
        <f t="shared" ca="1" si="142"/>
        <v>426.98173902183544</v>
      </c>
      <c r="AE302" s="324">
        <f t="shared" ca="1" si="121"/>
        <v>1465.2488249775708</v>
      </c>
      <c r="AG302" s="306">
        <f t="shared" ca="1" si="143"/>
        <v>-2.6185479474158937</v>
      </c>
      <c r="AH302" s="304">
        <f t="shared" ca="1" si="144"/>
        <v>-0.35643829898412616</v>
      </c>
    </row>
    <row r="303" spans="1:34" x14ac:dyDescent="0.2">
      <c r="A303" s="347">
        <f t="shared" ca="1" si="122"/>
        <v>0.1</v>
      </c>
      <c r="B303" s="304">
        <f t="shared" ca="1" si="123"/>
        <v>15.099999999999923</v>
      </c>
      <c r="D303" s="306">
        <f t="shared" ca="1" si="124"/>
        <v>-0.34227289149575729</v>
      </c>
      <c r="E303" s="307">
        <f t="shared" ca="1" si="125"/>
        <v>-9.8746494560373694</v>
      </c>
      <c r="F303" s="304">
        <f t="shared" ca="1" si="126"/>
        <v>9.8805795686220748</v>
      </c>
      <c r="G303" s="306">
        <f t="shared" ca="1" si="127"/>
        <v>20.362522876197072</v>
      </c>
      <c r="H303" s="307">
        <f t="shared" ca="1" si="128"/>
        <v>2.8651299746578029</v>
      </c>
      <c r="I303" s="304">
        <f t="shared" ca="1" si="129"/>
        <v>20.563105496381905</v>
      </c>
      <c r="J303" s="306">
        <f t="shared" ca="1" si="130"/>
        <v>429.0197026739126</v>
      </c>
      <c r="K303" s="307">
        <f t="shared" ca="1" si="131"/>
        <v>1465.5847112223169</v>
      </c>
      <c r="L303" s="304">
        <f t="shared" ca="1" si="116"/>
        <v>1527.0875715069565</v>
      </c>
      <c r="M303" s="306">
        <f t="shared" ca="1" si="132"/>
        <v>0.13978834266750934</v>
      </c>
      <c r="N303" s="304">
        <f t="shared" ca="1" si="133"/>
        <v>8.0092820599768135</v>
      </c>
      <c r="P303" s="310">
        <f t="shared" ca="1" si="134"/>
        <v>23</v>
      </c>
      <c r="Q303" s="304">
        <f t="shared" ca="1" si="135"/>
        <v>0</v>
      </c>
      <c r="R303" s="306">
        <f t="shared" ca="1" si="136"/>
        <v>0</v>
      </c>
      <c r="S303" s="307">
        <f t="shared" ca="1" si="137"/>
        <v>2.6792999999999987</v>
      </c>
      <c r="T303" s="304">
        <f t="shared" ca="1" si="117"/>
        <v>26.283932999999987</v>
      </c>
      <c r="U303" s="311">
        <f t="shared" ca="1" si="118"/>
        <v>0</v>
      </c>
      <c r="V303" s="306">
        <f t="shared" ca="1" si="119"/>
        <v>1.0577237486981919</v>
      </c>
      <c r="W303" s="304">
        <f t="shared" ca="1" si="120"/>
        <v>0.9158461670684882</v>
      </c>
      <c r="Y303" s="314" t="str">
        <f t="shared" ca="1" si="138"/>
        <v/>
      </c>
      <c r="Z303" s="315" t="str">
        <f t="shared" ca="1" si="139"/>
        <v/>
      </c>
      <c r="AA303" s="316" t="str">
        <f t="shared" ca="1" si="140"/>
        <v/>
      </c>
      <c r="AC303" s="310" t="e">
        <f t="shared" ca="1" si="141"/>
        <v>#N/A</v>
      </c>
      <c r="AD303" s="323" t="e">
        <f t="shared" ca="1" si="142"/>
        <v>#N/A</v>
      </c>
      <c r="AE303" s="324">
        <f t="shared" ca="1" si="121"/>
        <v>1465.5847112223169</v>
      </c>
      <c r="AG303" s="306">
        <f t="shared" ca="1" si="143"/>
        <v>-2.1690705926145375</v>
      </c>
      <c r="AH303" s="304">
        <f t="shared" ca="1" si="144"/>
        <v>-0.34832496955974057</v>
      </c>
    </row>
    <row r="304" spans="1:34" x14ac:dyDescent="0.2">
      <c r="A304" s="347">
        <f t="shared" ca="1" si="122"/>
        <v>0.1</v>
      </c>
      <c r="B304" s="304">
        <f t="shared" ca="1" si="123"/>
        <v>15.199999999999923</v>
      </c>
      <c r="D304" s="306">
        <f t="shared" ca="1" si="124"/>
        <v>-0.33848861799726959</v>
      </c>
      <c r="E304" s="307">
        <f t="shared" ca="1" si="125"/>
        <v>-9.8576273932950684</v>
      </c>
      <c r="F304" s="304">
        <f t="shared" ca="1" si="126"/>
        <v>9.8634371478483622</v>
      </c>
      <c r="G304" s="306">
        <f t="shared" ca="1" si="127"/>
        <v>20.328674014397347</v>
      </c>
      <c r="H304" s="307">
        <f t="shared" ca="1" si="128"/>
        <v>1.8793672353282962</v>
      </c>
      <c r="I304" s="304">
        <f t="shared" ca="1" si="129"/>
        <v>20.41536206852231</v>
      </c>
      <c r="J304" s="306">
        <f t="shared" ca="1" si="130"/>
        <v>431.05426251844233</v>
      </c>
      <c r="K304" s="307">
        <f t="shared" ca="1" si="131"/>
        <v>1465.8219360828161</v>
      </c>
      <c r="L304" s="304">
        <f t="shared" ca="1" si="116"/>
        <v>1527.8879950889377</v>
      </c>
      <c r="M304" s="306">
        <f t="shared" ca="1" si="132"/>
        <v>9.2187041418575241E-2</v>
      </c>
      <c r="N304" s="304">
        <f t="shared" ca="1" si="133"/>
        <v>5.2819283990820747</v>
      </c>
      <c r="P304" s="310">
        <f t="shared" ca="1" si="134"/>
        <v>23</v>
      </c>
      <c r="Q304" s="304">
        <f t="shared" ca="1" si="135"/>
        <v>0</v>
      </c>
      <c r="R304" s="306">
        <f t="shared" ca="1" si="136"/>
        <v>0</v>
      </c>
      <c r="S304" s="307">
        <f t="shared" ca="1" si="137"/>
        <v>2.6792999999999987</v>
      </c>
      <c r="T304" s="304">
        <f t="shared" ca="1" si="117"/>
        <v>26.283932999999987</v>
      </c>
      <c r="U304" s="311">
        <f t="shared" ca="1" si="118"/>
        <v>0</v>
      </c>
      <c r="V304" s="306">
        <f t="shared" ca="1" si="119"/>
        <v>1.0576985216733683</v>
      </c>
      <c r="W304" s="304">
        <f t="shared" ca="1" si="120"/>
        <v>0.90271142682447492</v>
      </c>
      <c r="Y304" s="314" t="str">
        <f t="shared" ca="1" si="138"/>
        <v/>
      </c>
      <c r="Z304" s="315" t="str">
        <f t="shared" ca="1" si="139"/>
        <v/>
      </c>
      <c r="AA304" s="316" t="str">
        <f t="shared" ca="1" si="140"/>
        <v/>
      </c>
      <c r="AC304" s="310" t="e">
        <f t="shared" ca="1" si="141"/>
        <v>#N/A</v>
      </c>
      <c r="AD304" s="323" t="e">
        <f t="shared" ca="1" si="142"/>
        <v>#N/A</v>
      </c>
      <c r="AE304" s="324">
        <f t="shared" ca="1" si="121"/>
        <v>1465.8219360828161</v>
      </c>
      <c r="AG304" s="306">
        <f t="shared" ca="1" si="143"/>
        <v>-1.7086848072155969</v>
      </c>
      <c r="AH304" s="304">
        <f t="shared" ca="1" si="144"/>
        <v>-0.34182292653621793</v>
      </c>
    </row>
    <row r="305" spans="1:34" x14ac:dyDescent="0.2">
      <c r="A305" s="347">
        <f t="shared" ca="1" si="122"/>
        <v>0.1</v>
      </c>
      <c r="B305" s="304">
        <f t="shared" ca="1" si="123"/>
        <v>15.299999999999923</v>
      </c>
      <c r="D305" s="306">
        <f t="shared" ca="1" si="124"/>
        <v>-0.33548998558056037</v>
      </c>
      <c r="E305" s="307">
        <f t="shared" ca="1" si="125"/>
        <v>-9.8410157409299952</v>
      </c>
      <c r="F305" s="304">
        <f t="shared" ca="1" si="126"/>
        <v>9.8467326735144383</v>
      </c>
      <c r="G305" s="306">
        <f t="shared" ca="1" si="127"/>
        <v>20.29512501583929</v>
      </c>
      <c r="H305" s="307">
        <f t="shared" ca="1" si="128"/>
        <v>0.89526566123529661</v>
      </c>
      <c r="I305" s="304">
        <f t="shared" ca="1" si="129"/>
        <v>20.314861555342503</v>
      </c>
      <c r="J305" s="306">
        <f t="shared" ca="1" si="130"/>
        <v>433.08545246995413</v>
      </c>
      <c r="K305" s="307">
        <f t="shared" ca="1" si="131"/>
        <v>1465.9606677276442</v>
      </c>
      <c r="L305" s="304">
        <f t="shared" ca="1" si="116"/>
        <v>1528.5953318212069</v>
      </c>
      <c r="M305" s="306">
        <f t="shared" ca="1" si="132"/>
        <v>4.4083770787480298E-2</v>
      </c>
      <c r="N305" s="304">
        <f t="shared" ca="1" si="133"/>
        <v>2.5258140111447305</v>
      </c>
      <c r="P305" s="310">
        <f t="shared" ca="1" si="134"/>
        <v>23</v>
      </c>
      <c r="Q305" s="304">
        <f t="shared" ca="1" si="135"/>
        <v>0</v>
      </c>
      <c r="R305" s="306">
        <f t="shared" ca="1" si="136"/>
        <v>0</v>
      </c>
      <c r="S305" s="307">
        <f t="shared" ca="1" si="137"/>
        <v>2.6792999999999987</v>
      </c>
      <c r="T305" s="304">
        <f t="shared" ca="1" si="117"/>
        <v>26.283932999999987</v>
      </c>
      <c r="U305" s="311">
        <f t="shared" ca="1" si="118"/>
        <v>0</v>
      </c>
      <c r="V305" s="306">
        <f t="shared" ca="1" si="119"/>
        <v>1.0576837688968461</v>
      </c>
      <c r="W305" s="304">
        <f t="shared" ca="1" si="120"/>
        <v>0.89383312046320362</v>
      </c>
      <c r="Y305" s="314" t="str">
        <f t="shared" ca="1" si="138"/>
        <v>Apogée</v>
      </c>
      <c r="Z305" s="315" t="str">
        <f t="shared" ca="1" si="139"/>
        <v/>
      </c>
      <c r="AA305" s="316" t="str">
        <f t="shared" ca="1" si="140"/>
        <v/>
      </c>
      <c r="AC305" s="310" t="e">
        <f t="shared" ca="1" si="141"/>
        <v>#N/A</v>
      </c>
      <c r="AD305" s="323" t="e">
        <f t="shared" ca="1" si="142"/>
        <v>#N/A</v>
      </c>
      <c r="AE305" s="324">
        <f t="shared" ca="1" si="121"/>
        <v>1465.9606677276442</v>
      </c>
      <c r="AG305" s="306">
        <f t="shared" ca="1" si="143"/>
        <v>-1.2399951082350926</v>
      </c>
      <c r="AH305" s="304">
        <f t="shared" ca="1" si="144"/>
        <v>-0.33692062360485026</v>
      </c>
    </row>
    <row r="306" spans="1:34" x14ac:dyDescent="0.2">
      <c r="A306" s="347">
        <f t="shared" ca="1" si="122"/>
        <v>0.1</v>
      </c>
      <c r="B306" s="304">
        <f t="shared" ca="1" si="123"/>
        <v>15.399999999999922</v>
      </c>
      <c r="D306" s="306">
        <f t="shared" ca="1" si="124"/>
        <v>-0.33328284735611691</v>
      </c>
      <c r="E306" s="307">
        <f t="shared" ca="1" si="125"/>
        <v>-9.8247018896648228</v>
      </c>
      <c r="F306" s="304">
        <f t="shared" ca="1" si="126"/>
        <v>9.8303532325713174</v>
      </c>
      <c r="G306" s="306">
        <f t="shared" ca="1" si="127"/>
        <v>20.261796731103679</v>
      </c>
      <c r="H306" s="307">
        <f t="shared" ca="1" si="128"/>
        <v>-8.7204527731185699E-2</v>
      </c>
      <c r="I306" s="304">
        <f t="shared" ca="1" si="129"/>
        <v>20.261984389546367</v>
      </c>
      <c r="J306" s="306">
        <f t="shared" ca="1" si="130"/>
        <v>435.11329855730128</v>
      </c>
      <c r="K306" s="307">
        <f t="shared" ca="1" si="131"/>
        <v>1466.0010707843194</v>
      </c>
      <c r="L306" s="304">
        <f t="shared" ca="1" si="116"/>
        <v>1529.2098358702074</v>
      </c>
      <c r="M306" s="306">
        <f t="shared" ca="1" si="132"/>
        <v>-4.3038626066191736E-3</v>
      </c>
      <c r="N306" s="304">
        <f t="shared" ca="1" si="133"/>
        <v>-0.24659316296345193</v>
      </c>
      <c r="P306" s="310">
        <f t="shared" ca="1" si="134"/>
        <v>23</v>
      </c>
      <c r="Q306" s="304">
        <f t="shared" ca="1" si="135"/>
        <v>0</v>
      </c>
      <c r="R306" s="306">
        <f t="shared" ca="1" si="136"/>
        <v>0</v>
      </c>
      <c r="S306" s="307">
        <f t="shared" ca="1" si="137"/>
        <v>2.6792999999999987</v>
      </c>
      <c r="T306" s="304">
        <f t="shared" ca="1" si="117"/>
        <v>26.283932999999987</v>
      </c>
      <c r="U306" s="311">
        <f t="shared" ca="1" si="118"/>
        <v>0</v>
      </c>
      <c r="V306" s="306">
        <f t="shared" ca="1" si="119"/>
        <v>1.0576794724560989</v>
      </c>
      <c r="W306" s="304">
        <f t="shared" ca="1" si="120"/>
        <v>0.8891824818174725</v>
      </c>
      <c r="Y306" s="314" t="str">
        <f t="shared" ca="1" si="138"/>
        <v/>
      </c>
      <c r="Z306" s="315" t="str">
        <f t="shared" ca="1" si="139"/>
        <v/>
      </c>
      <c r="AA306" s="316" t="str">
        <f t="shared" ca="1" si="140"/>
        <v/>
      </c>
      <c r="AC306" s="310" t="e">
        <f t="shared" ca="1" si="141"/>
        <v>#N/A</v>
      </c>
      <c r="AD306" s="323" t="e">
        <f t="shared" ca="1" si="142"/>
        <v>#N/A</v>
      </c>
      <c r="AE306" s="324">
        <f t="shared" ca="1" si="121"/>
        <v>1466.0010707843194</v>
      </c>
      <c r="AG306" s="306">
        <f t="shared" ca="1" si="143"/>
        <v>-0.76592868939959602</v>
      </c>
      <c r="AH306" s="304">
        <f t="shared" ca="1" si="144"/>
        <v>-0.33360695721390066</v>
      </c>
    </row>
    <row r="307" spans="1:34" x14ac:dyDescent="0.2">
      <c r="A307" s="347">
        <f t="shared" ca="1" si="122"/>
        <v>0.1</v>
      </c>
      <c r="B307" s="304">
        <f t="shared" ca="1" si="123"/>
        <v>15.499999999999922</v>
      </c>
      <c r="D307" s="306">
        <f t="shared" ca="1" si="124"/>
        <v>-0.33186811725558546</v>
      </c>
      <c r="E307" s="307">
        <f t="shared" ca="1" si="125"/>
        <v>-9.8085716764007476</v>
      </c>
      <c r="F307" s="304">
        <f t="shared" ca="1" si="126"/>
        <v>9.8141843664331958</v>
      </c>
      <c r="G307" s="306">
        <f t="shared" ca="1" si="127"/>
        <v>20.228609919378119</v>
      </c>
      <c r="H307" s="307">
        <f t="shared" ca="1" si="128"/>
        <v>-1.0680616953712605</v>
      </c>
      <c r="I307" s="304">
        <f t="shared" ca="1" si="129"/>
        <v>20.256786888731444</v>
      </c>
      <c r="J307" s="306">
        <f t="shared" ca="1" si="130"/>
        <v>437.13781888982538</v>
      </c>
      <c r="K307" s="307">
        <f t="shared" ca="1" si="131"/>
        <v>1465.9433074731642</v>
      </c>
      <c r="L307" s="304">
        <f t="shared" ca="1" si="116"/>
        <v>1529.7317586521874</v>
      </c>
      <c r="M307" s="306">
        <f t="shared" ca="1" si="132"/>
        <v>-5.2750576765308567E-2</v>
      </c>
      <c r="N307" s="304">
        <f t="shared" ca="1" si="133"/>
        <v>-3.022385415533043</v>
      </c>
      <c r="P307" s="310">
        <f t="shared" ca="1" si="134"/>
        <v>23</v>
      </c>
      <c r="Q307" s="304">
        <f t="shared" ca="1" si="135"/>
        <v>0</v>
      </c>
      <c r="R307" s="306">
        <f t="shared" ca="1" si="136"/>
        <v>0</v>
      </c>
      <c r="S307" s="307">
        <f t="shared" ca="1" si="137"/>
        <v>2.6792999999999987</v>
      </c>
      <c r="T307" s="304">
        <f t="shared" ca="1" si="117"/>
        <v>26.283932999999987</v>
      </c>
      <c r="U307" s="311">
        <f t="shared" ca="1" si="118"/>
        <v>0</v>
      </c>
      <c r="V307" s="306">
        <f t="shared" ca="1" si="119"/>
        <v>1.0576856149825531</v>
      </c>
      <c r="W307" s="304">
        <f t="shared" ca="1" si="120"/>
        <v>0.88873152454501458</v>
      </c>
      <c r="Y307" s="314" t="str">
        <f t="shared" ca="1" si="138"/>
        <v/>
      </c>
      <c r="Z307" s="315" t="str">
        <f t="shared" ca="1" si="139"/>
        <v>Para</v>
      </c>
      <c r="AA307" s="316" t="str">
        <f t="shared" ca="1" si="140"/>
        <v/>
      </c>
      <c r="AC307" s="310" t="e">
        <f t="shared" ca="1" si="141"/>
        <v>#N/A</v>
      </c>
      <c r="AD307" s="323" t="e">
        <f t="shared" ca="1" si="142"/>
        <v>#N/A</v>
      </c>
      <c r="AE307" s="324">
        <f t="shared" ca="1" si="121"/>
        <v>1465.9433074731642</v>
      </c>
      <c r="AG307" s="306">
        <f t="shared" ca="1" si="143"/>
        <v>-0.2896504290881125</v>
      </c>
      <c r="AH307" s="304">
        <f t="shared" ca="1" si="144"/>
        <v>-0.33187119091459444</v>
      </c>
    </row>
    <row r="308" spans="1:34" x14ac:dyDescent="0.2">
      <c r="A308" s="347">
        <f t="shared" ca="1" si="122"/>
        <v>0.1</v>
      </c>
      <c r="B308" s="304">
        <f t="shared" ca="1" si="123"/>
        <v>15.599999999999921</v>
      </c>
      <c r="D308" s="306">
        <f t="shared" ca="1" si="124"/>
        <v>-0.33124148423078087</v>
      </c>
      <c r="E308" s="307">
        <f t="shared" ca="1" si="125"/>
        <v>-9.7925105955063234</v>
      </c>
      <c r="F308" s="304">
        <f t="shared" ca="1" si="126"/>
        <v>9.7981112814653724</v>
      </c>
      <c r="G308" s="306">
        <f t="shared" ca="1" si="127"/>
        <v>20.195485770955042</v>
      </c>
      <c r="H308" s="307">
        <f t="shared" ca="1" si="128"/>
        <v>-2.0473127549218928</v>
      </c>
      <c r="I308" s="304">
        <f t="shared" ca="1" si="129"/>
        <v>20.298993448969668</v>
      </c>
      <c r="J308" s="306">
        <f t="shared" ca="1" si="130"/>
        <v>439.15902367434205</v>
      </c>
      <c r="K308" s="307">
        <f t="shared" ca="1" si="131"/>
        <v>1465.7875387506494</v>
      </c>
      <c r="L308" s="304">
        <f t="shared" ca="1" si="116"/>
        <v>1530.1613499338191</v>
      </c>
      <c r="M308" s="306">
        <f t="shared" ca="1" si="132"/>
        <v>-0.10102962627987762</v>
      </c>
      <c r="N308" s="304">
        <f t="shared" ca="1" si="133"/>
        <v>-5.7885711916209752</v>
      </c>
      <c r="P308" s="310">
        <f t="shared" ca="1" si="134"/>
        <v>23</v>
      </c>
      <c r="Q308" s="304">
        <f t="shared" ca="1" si="135"/>
        <v>0</v>
      </c>
      <c r="R308" s="306">
        <f t="shared" ca="1" si="136"/>
        <v>0</v>
      </c>
      <c r="S308" s="307">
        <f t="shared" ca="1" si="137"/>
        <v>2.6792999999999987</v>
      </c>
      <c r="T308" s="304">
        <f t="shared" ca="1" si="117"/>
        <v>26.283932999999987</v>
      </c>
      <c r="U308" s="311">
        <f t="shared" ca="1" si="118"/>
        <v>0</v>
      </c>
      <c r="V308" s="306">
        <f t="shared" ca="1" si="119"/>
        <v>1.0577021795284152</v>
      </c>
      <c r="W308" s="304">
        <f t="shared" ca="1" si="120"/>
        <v>0.89245283919199481</v>
      </c>
      <c r="Y308" s="314" t="str">
        <f t="shared" ca="1" si="138"/>
        <v/>
      </c>
      <c r="Z308" s="315" t="str">
        <f t="shared" ca="1" si="139"/>
        <v/>
      </c>
      <c r="AA308" s="316" t="str">
        <f t="shared" ca="1" si="140"/>
        <v/>
      </c>
      <c r="AC308" s="310" t="e">
        <f t="shared" ca="1" si="141"/>
        <v>#N/A</v>
      </c>
      <c r="AD308" s="323" t="e">
        <f t="shared" ca="1" si="142"/>
        <v>#N/A</v>
      </c>
      <c r="AE308" s="324" t="e">
        <f t="shared" ca="1" si="121"/>
        <v>#N/A</v>
      </c>
      <c r="AG308" s="306">
        <f t="shared" ca="1" si="143"/>
        <v>0.18554031868933674</v>
      </c>
      <c r="AH308" s="304">
        <f t="shared" ca="1" si="144"/>
        <v>-0.33170287931363229</v>
      </c>
    </row>
    <row r="309" spans="1:34" x14ac:dyDescent="0.2">
      <c r="A309" s="347">
        <f t="shared" ca="1" si="122"/>
        <v>0.1</v>
      </c>
      <c r="B309" s="304">
        <f t="shared" ca="1" si="123"/>
        <v>15.699999999999921</v>
      </c>
      <c r="D309" s="306">
        <f t="shared" ca="1" si="124"/>
        <v>-0.33139330624202223</v>
      </c>
      <c r="E309" s="307">
        <f t="shared" ca="1" si="125"/>
        <v>-9.7764050793103081</v>
      </c>
      <c r="F309" s="304">
        <f t="shared" ca="1" si="126"/>
        <v>9.7820201286946045</v>
      </c>
      <c r="G309" s="306">
        <f t="shared" ca="1" si="127"/>
        <v>20.16234644033084</v>
      </c>
      <c r="H309" s="307">
        <f t="shared" ca="1" si="128"/>
        <v>-3.0249532628529234</v>
      </c>
      <c r="I309" s="304">
        <f t="shared" ca="1" si="129"/>
        <v>20.388000299744117</v>
      </c>
      <c r="J309" s="306">
        <f t="shared" ca="1" si="130"/>
        <v>441.17691528490633</v>
      </c>
      <c r="K309" s="307">
        <f t="shared" ca="1" si="131"/>
        <v>1465.5339254497608</v>
      </c>
      <c r="L309" s="304">
        <f t="shared" ca="1" si="116"/>
        <v>1530.4988589425641</v>
      </c>
      <c r="M309" s="306">
        <f t="shared" ca="1" si="132"/>
        <v>-0.14891911399457605</v>
      </c>
      <c r="N309" s="304">
        <f t="shared" ca="1" si="133"/>
        <v>-8.5324367207168024</v>
      </c>
      <c r="P309" s="310">
        <f t="shared" ca="1" si="134"/>
        <v>23</v>
      </c>
      <c r="Q309" s="304">
        <f t="shared" ca="1" si="135"/>
        <v>0</v>
      </c>
      <c r="R309" s="306">
        <f t="shared" ca="1" si="136"/>
        <v>0</v>
      </c>
      <c r="S309" s="307">
        <f t="shared" ca="1" si="137"/>
        <v>2.6792999999999987</v>
      </c>
      <c r="T309" s="304">
        <f t="shared" ca="1" si="117"/>
        <v>26.283932999999987</v>
      </c>
      <c r="U309" s="311">
        <f t="shared" ca="1" si="118"/>
        <v>0</v>
      </c>
      <c r="V309" s="306">
        <f t="shared" ca="1" si="119"/>
        <v>1.0577291494438483</v>
      </c>
      <c r="W309" s="304">
        <f t="shared" ca="1" si="120"/>
        <v>0.90031939310276787</v>
      </c>
      <c r="Y309" s="314" t="str">
        <f t="shared" ca="1" si="138"/>
        <v/>
      </c>
      <c r="Z309" s="315" t="str">
        <f t="shared" ca="1" si="139"/>
        <v/>
      </c>
      <c r="AA309" s="316" t="str">
        <f t="shared" ca="1" si="140"/>
        <v/>
      </c>
      <c r="AC309" s="310" t="e">
        <f t="shared" ca="1" si="141"/>
        <v>#N/A</v>
      </c>
      <c r="AD309" s="323" t="e">
        <f t="shared" ca="1" si="142"/>
        <v>#N/A</v>
      </c>
      <c r="AE309" s="324" t="e">
        <f t="shared" ca="1" si="121"/>
        <v>#N/A</v>
      </c>
      <c r="AG309" s="306">
        <f t="shared" ca="1" si="143"/>
        <v>0.65632367677969272</v>
      </c>
      <c r="AH309" s="304">
        <f t="shared" ca="1" si="144"/>
        <v>-0.33309179233083092</v>
      </c>
    </row>
    <row r="310" spans="1:34" x14ac:dyDescent="0.2">
      <c r="A310" s="347">
        <f t="shared" ca="1" si="122"/>
        <v>0.1</v>
      </c>
      <c r="B310" s="304">
        <f t="shared" ca="1" si="123"/>
        <v>15.799999999999921</v>
      </c>
      <c r="D310" s="306">
        <f t="shared" ca="1" si="124"/>
        <v>-0.3323086930809464</v>
      </c>
      <c r="E310" s="307">
        <f t="shared" ca="1" si="125"/>
        <v>-9.7601437856757158</v>
      </c>
      <c r="F310" s="304">
        <f t="shared" ca="1" si="126"/>
        <v>9.7657992906142326</v>
      </c>
      <c r="G310" s="306">
        <f t="shared" ca="1" si="127"/>
        <v>20.129115571022744</v>
      </c>
      <c r="H310" s="307">
        <f t="shared" ca="1" si="128"/>
        <v>-4.0009676414204947</v>
      </c>
      <c r="I310" s="304">
        <f t="shared" ca="1" si="129"/>
        <v>20.522890530802044</v>
      </c>
      <c r="J310" s="306">
        <f t="shared" ca="1" si="130"/>
        <v>443.19148838547403</v>
      </c>
      <c r="K310" s="307">
        <f t="shared" ca="1" si="131"/>
        <v>1465.182629404547</v>
      </c>
      <c r="L310" s="304">
        <f t="shared" ca="1" si="116"/>
        <v>1530.7445354748629</v>
      </c>
      <c r="M310" s="306">
        <f t="shared" ca="1" si="132"/>
        <v>-0.19620796875545152</v>
      </c>
      <c r="N310" s="304">
        <f t="shared" ca="1" si="133"/>
        <v>-11.241888516522096</v>
      </c>
      <c r="P310" s="310">
        <f t="shared" ca="1" si="134"/>
        <v>23</v>
      </c>
      <c r="Q310" s="304">
        <f t="shared" ca="1" si="135"/>
        <v>0</v>
      </c>
      <c r="R310" s="306">
        <f t="shared" ca="1" si="136"/>
        <v>0</v>
      </c>
      <c r="S310" s="307">
        <f t="shared" ca="1" si="137"/>
        <v>2.6792999999999987</v>
      </c>
      <c r="T310" s="304">
        <f t="shared" ca="1" si="117"/>
        <v>26.283932999999987</v>
      </c>
      <c r="U310" s="311">
        <f t="shared" ca="1" si="118"/>
        <v>0</v>
      </c>
      <c r="V310" s="306">
        <f t="shared" ca="1" si="119"/>
        <v>1.0577665082558527</v>
      </c>
      <c r="W310" s="304">
        <f t="shared" ca="1" si="120"/>
        <v>0.91230433526031296</v>
      </c>
      <c r="Y310" s="314" t="str">
        <f t="shared" ca="1" si="138"/>
        <v/>
      </c>
      <c r="Z310" s="315" t="str">
        <f t="shared" ca="1" si="139"/>
        <v/>
      </c>
      <c r="AA310" s="316" t="str">
        <f t="shared" ca="1" si="140"/>
        <v/>
      </c>
      <c r="AC310" s="310" t="e">
        <f t="shared" ca="1" si="141"/>
        <v>#N/A</v>
      </c>
      <c r="AD310" s="323" t="e">
        <f t="shared" ca="1" si="142"/>
        <v>#N/A</v>
      </c>
      <c r="AE310" s="324" t="e">
        <f t="shared" ca="1" si="121"/>
        <v>#N/A</v>
      </c>
      <c r="AG310" s="306">
        <f t="shared" ca="1" si="143"/>
        <v>1.1194749587897683</v>
      </c>
      <c r="AH310" s="304">
        <f t="shared" ca="1" si="144"/>
        <v>-0.33602784051907897</v>
      </c>
    </row>
    <row r="311" spans="1:34" x14ac:dyDescent="0.2">
      <c r="A311" s="347">
        <f t="shared" ca="1" si="122"/>
        <v>0.1</v>
      </c>
      <c r="B311" s="304">
        <f t="shared" ca="1" si="123"/>
        <v>15.89999999999992</v>
      </c>
      <c r="D311" s="306">
        <f t="shared" ca="1" si="124"/>
        <v>-0.33396777201246214</v>
      </c>
      <c r="E311" s="307">
        <f t="shared" ca="1" si="125"/>
        <v>-9.7436188296805906</v>
      </c>
      <c r="F311" s="304">
        <f t="shared" ca="1" si="126"/>
        <v>9.749340612105474</v>
      </c>
      <c r="G311" s="306">
        <f t="shared" ca="1" si="127"/>
        <v>20.095718793821497</v>
      </c>
      <c r="H311" s="307">
        <f t="shared" ca="1" si="128"/>
        <v>-4.9753295243885542</v>
      </c>
      <c r="I311" s="304">
        <f t="shared" ca="1" si="129"/>
        <v>20.702459219054219</v>
      </c>
      <c r="J311" s="306">
        <f t="shared" ca="1" si="130"/>
        <v>445.20273010371625</v>
      </c>
      <c r="K311" s="307">
        <f t="shared" ca="1" si="131"/>
        <v>1464.7338145462566</v>
      </c>
      <c r="L311" s="304">
        <f t="shared" ca="1" si="116"/>
        <v>1530.8986309899915</v>
      </c>
      <c r="M311" s="306">
        <f t="shared" ca="1" si="132"/>
        <v>-0.24270119769935028</v>
      </c>
      <c r="N311" s="304">
        <f t="shared" ca="1" si="133"/>
        <v>-13.905754310942976</v>
      </c>
      <c r="P311" s="310">
        <f t="shared" ca="1" si="134"/>
        <v>23</v>
      </c>
      <c r="Q311" s="304">
        <f t="shared" ca="1" si="135"/>
        <v>0</v>
      </c>
      <c r="R311" s="306">
        <f t="shared" ca="1" si="136"/>
        <v>0</v>
      </c>
      <c r="S311" s="307">
        <f t="shared" ca="1" si="137"/>
        <v>2.6792999999999987</v>
      </c>
      <c r="T311" s="304">
        <f t="shared" ca="1" si="117"/>
        <v>26.283932999999987</v>
      </c>
      <c r="U311" s="311">
        <f t="shared" ca="1" si="118"/>
        <v>0</v>
      </c>
      <c r="V311" s="306">
        <f t="shared" ca="1" si="119"/>
        <v>1.0578142395501593</v>
      </c>
      <c r="W311" s="304">
        <f t="shared" ca="1" si="120"/>
        <v>0.92838080809051926</v>
      </c>
      <c r="Y311" s="314" t="str">
        <f t="shared" ca="1" si="138"/>
        <v/>
      </c>
      <c r="Z311" s="315" t="str">
        <f t="shared" ca="1" si="139"/>
        <v/>
      </c>
      <c r="AA311" s="316" t="str">
        <f t="shared" ca="1" si="140"/>
        <v/>
      </c>
      <c r="AC311" s="310" t="e">
        <f t="shared" ca="1" si="141"/>
        <v>#N/A</v>
      </c>
      <c r="AD311" s="323" t="e">
        <f t="shared" ca="1" si="142"/>
        <v>#N/A</v>
      </c>
      <c r="AE311" s="324" t="e">
        <f t="shared" ca="1" si="121"/>
        <v>#N/A</v>
      </c>
      <c r="AG311" s="306">
        <f t="shared" ca="1" si="143"/>
        <v>1.5719729011676824</v>
      </c>
      <c r="AH311" s="304">
        <f t="shared" ca="1" si="144"/>
        <v>-0.34050100222457858</v>
      </c>
    </row>
    <row r="312" spans="1:34" x14ac:dyDescent="0.2">
      <c r="A312" s="347">
        <f t="shared" ca="1" si="122"/>
        <v>0.1</v>
      </c>
      <c r="B312" s="304">
        <f t="shared" ca="1" si="123"/>
        <v>15.99999999999992</v>
      </c>
      <c r="D312" s="306">
        <f t="shared" ca="1" si="124"/>
        <v>-0.33634611595048902</v>
      </c>
      <c r="E312" s="307">
        <f t="shared" ca="1" si="125"/>
        <v>-9.7267269019699665</v>
      </c>
      <c r="F312" s="304">
        <f t="shared" ca="1" si="126"/>
        <v>9.7325405180364513</v>
      </c>
      <c r="G312" s="306">
        <f t="shared" ca="1" si="127"/>
        <v>20.06208418222645</v>
      </c>
      <c r="H312" s="307">
        <f t="shared" ca="1" si="128"/>
        <v>-5.9480022145855509</v>
      </c>
      <c r="I312" s="304">
        <f t="shared" ca="1" si="129"/>
        <v>20.925246762689689</v>
      </c>
      <c r="J312" s="306">
        <f t="shared" ca="1" si="130"/>
        <v>447.21062025251865</v>
      </c>
      <c r="K312" s="307">
        <f t="shared" ca="1" si="131"/>
        <v>1464.1876479593079</v>
      </c>
      <c r="L312" s="304">
        <f t="shared" ca="1" si="116"/>
        <v>1530.9613996777491</v>
      </c>
      <c r="M312" s="306">
        <f t="shared" ca="1" si="132"/>
        <v>-0.28822410992615827</v>
      </c>
      <c r="N312" s="304">
        <f t="shared" ca="1" si="133"/>
        <v>-16.514025052683568</v>
      </c>
      <c r="P312" s="310">
        <f t="shared" ca="1" si="134"/>
        <v>23</v>
      </c>
      <c r="Q312" s="304">
        <f t="shared" ca="1" si="135"/>
        <v>0</v>
      </c>
      <c r="R312" s="306">
        <f t="shared" ca="1" si="136"/>
        <v>0</v>
      </c>
      <c r="S312" s="307">
        <f t="shared" ca="1" si="137"/>
        <v>2.6792999999999987</v>
      </c>
      <c r="T312" s="304">
        <f t="shared" ca="1" si="117"/>
        <v>26.283932999999987</v>
      </c>
      <c r="U312" s="311">
        <f t="shared" ca="1" si="118"/>
        <v>0</v>
      </c>
      <c r="V312" s="306">
        <f t="shared" ca="1" si="119"/>
        <v>1.057872326857366</v>
      </c>
      <c r="W312" s="304">
        <f t="shared" ca="1" si="120"/>
        <v>0.94852176811087918</v>
      </c>
      <c r="Y312" s="314" t="str">
        <f t="shared" ca="1" si="138"/>
        <v/>
      </c>
      <c r="Z312" s="315" t="str">
        <f t="shared" ca="1" si="139"/>
        <v/>
      </c>
      <c r="AA312" s="316" t="str">
        <f t="shared" ca="1" si="140"/>
        <v/>
      </c>
      <c r="AC312" s="310">
        <f t="shared" ca="1" si="141"/>
        <v>15.99999999999992</v>
      </c>
      <c r="AD312" s="323">
        <f t="shared" ca="1" si="142"/>
        <v>447.21062025251865</v>
      </c>
      <c r="AE312" s="324" t="e">
        <f t="shared" ca="1" si="121"/>
        <v>#N/A</v>
      </c>
      <c r="AG312" s="306">
        <f t="shared" ca="1" si="143"/>
        <v>2.0110922150340809</v>
      </c>
      <c r="AH312" s="304">
        <f t="shared" ca="1" si="144"/>
        <v>-0.34650125334621718</v>
      </c>
    </row>
    <row r="313" spans="1:34" x14ac:dyDescent="0.2">
      <c r="A313" s="347">
        <f t="shared" ca="1" si="122"/>
        <v>0.1</v>
      </c>
      <c r="B313" s="304">
        <f t="shared" ca="1" si="123"/>
        <v>16.09999999999992</v>
      </c>
      <c r="D313" s="306">
        <f t="shared" ca="1" si="124"/>
        <v>-0.33941530236445711</v>
      </c>
      <c r="E313" s="307">
        <f t="shared" ca="1" si="125"/>
        <v>-9.7093702273507283</v>
      </c>
      <c r="F313" s="304">
        <f t="shared" ca="1" si="126"/>
        <v>9.7153009711096399</v>
      </c>
      <c r="G313" s="306">
        <f t="shared" ca="1" si="127"/>
        <v>20.028142651990002</v>
      </c>
      <c r="H313" s="307">
        <f t="shared" ca="1" si="128"/>
        <v>-6.9189392373206235</v>
      </c>
      <c r="I313" s="304">
        <f t="shared" ca="1" si="129"/>
        <v>21.189578057578117</v>
      </c>
      <c r="J313" s="306">
        <f t="shared" ca="1" si="130"/>
        <v>449.21513159422949</v>
      </c>
      <c r="K313" s="307">
        <f t="shared" ca="1" si="131"/>
        <v>1463.5443008867126</v>
      </c>
      <c r="L313" s="304">
        <f t="shared" ca="1" si="116"/>
        <v>1530.9330994890654</v>
      </c>
      <c r="M313" s="306">
        <f t="shared" ca="1" si="132"/>
        <v>-0.33262532630342201</v>
      </c>
      <c r="N313" s="304">
        <f t="shared" ca="1" si="133"/>
        <v>-19.058027356347928</v>
      </c>
      <c r="P313" s="310">
        <f t="shared" ca="1" si="134"/>
        <v>23</v>
      </c>
      <c r="Q313" s="304">
        <f t="shared" ca="1" si="135"/>
        <v>0</v>
      </c>
      <c r="R313" s="306">
        <f t="shared" ca="1" si="136"/>
        <v>0</v>
      </c>
      <c r="S313" s="307">
        <f t="shared" ca="1" si="137"/>
        <v>2.6792999999999987</v>
      </c>
      <c r="T313" s="304">
        <f t="shared" ca="1" si="117"/>
        <v>26.283932999999987</v>
      </c>
      <c r="U313" s="311">
        <f t="shared" ca="1" si="118"/>
        <v>0</v>
      </c>
      <c r="V313" s="306">
        <f t="shared" ca="1" si="119"/>
        <v>1.0579407535444039</v>
      </c>
      <c r="W313" s="304">
        <f t="shared" ca="1" si="120"/>
        <v>0.97269981706532616</v>
      </c>
      <c r="Y313" s="314" t="str">
        <f t="shared" ca="1" si="138"/>
        <v/>
      </c>
      <c r="Z313" s="315" t="str">
        <f t="shared" ca="1" si="139"/>
        <v/>
      </c>
      <c r="AA313" s="316" t="str">
        <f t="shared" ca="1" si="140"/>
        <v/>
      </c>
      <c r="AC313" s="310" t="e">
        <f t="shared" ca="1" si="141"/>
        <v>#N/A</v>
      </c>
      <c r="AD313" s="323" t="e">
        <f t="shared" ca="1" si="142"/>
        <v>#N/A</v>
      </c>
      <c r="AE313" s="324" t="e">
        <f t="shared" ca="1" si="121"/>
        <v>#N/A</v>
      </c>
      <c r="AG313" s="306">
        <f t="shared" ca="1" si="143"/>
        <v>2.4344743851036705</v>
      </c>
      <c r="AH313" s="304">
        <f t="shared" ca="1" si="144"/>
        <v>-0.35401850039595406</v>
      </c>
    </row>
    <row r="314" spans="1:34" x14ac:dyDescent="0.2">
      <c r="A314" s="347">
        <f t="shared" ca="1" si="122"/>
        <v>0.1</v>
      </c>
      <c r="B314" s="304">
        <f t="shared" ca="1" si="123"/>
        <v>16.199999999999921</v>
      </c>
      <c r="D314" s="306">
        <f t="shared" ca="1" si="124"/>
        <v>-0.34314356373348448</v>
      </c>
      <c r="E314" s="307">
        <f t="shared" ca="1" si="125"/>
        <v>-9.6914573318952399</v>
      </c>
      <c r="F314" s="304">
        <f t="shared" ca="1" si="126"/>
        <v>9.6975302382244593</v>
      </c>
      <c r="G314" s="306">
        <f t="shared" ca="1" si="127"/>
        <v>19.993828295616655</v>
      </c>
      <c r="H314" s="307">
        <f t="shared" ca="1" si="128"/>
        <v>-7.8880849705101479</v>
      </c>
      <c r="I314" s="304">
        <f t="shared" ca="1" si="129"/>
        <v>21.493604965584282</v>
      </c>
      <c r="J314" s="306">
        <f t="shared" ca="1" si="130"/>
        <v>451.2162301416098</v>
      </c>
      <c r="K314" s="307">
        <f t="shared" ca="1" si="131"/>
        <v>1462.8039496763211</v>
      </c>
      <c r="L314" s="304">
        <f t="shared" ca="1" si="116"/>
        <v>1530.8139931199514</v>
      </c>
      <c r="M314" s="306">
        <f t="shared" ca="1" si="132"/>
        <v>-0.37577851682493746</v>
      </c>
      <c r="N314" s="304">
        <f t="shared" ca="1" si="133"/>
        <v>-21.530523045754713</v>
      </c>
      <c r="P314" s="310">
        <f t="shared" ca="1" si="134"/>
        <v>23</v>
      </c>
      <c r="Q314" s="304">
        <f t="shared" ca="1" si="135"/>
        <v>0</v>
      </c>
      <c r="R314" s="306">
        <f t="shared" ca="1" si="136"/>
        <v>0</v>
      </c>
      <c r="S314" s="307">
        <f t="shared" ca="1" si="137"/>
        <v>2.6792999999999987</v>
      </c>
      <c r="T314" s="304">
        <f t="shared" ca="1" si="117"/>
        <v>26.283932999999987</v>
      </c>
      <c r="U314" s="311">
        <f t="shared" ca="1" si="118"/>
        <v>0</v>
      </c>
      <c r="V314" s="306">
        <f t="shared" ca="1" si="119"/>
        <v>1.0580195027122248</v>
      </c>
      <c r="W314" s="304">
        <f t="shared" ca="1" si="120"/>
        <v>1.00088704488472</v>
      </c>
      <c r="Y314" s="314" t="str">
        <f t="shared" ca="1" si="138"/>
        <v/>
      </c>
      <c r="Z314" s="315" t="str">
        <f t="shared" ca="1" si="139"/>
        <v/>
      </c>
      <c r="AA314" s="316" t="str">
        <f t="shared" ca="1" si="140"/>
        <v/>
      </c>
      <c r="AC314" s="310" t="e">
        <f t="shared" ca="1" si="141"/>
        <v>#N/A</v>
      </c>
      <c r="AD314" s="323" t="e">
        <f t="shared" ca="1" si="142"/>
        <v>#N/A</v>
      </c>
      <c r="AE314" s="324" t="e">
        <f t="shared" ca="1" si="121"/>
        <v>#N/A</v>
      </c>
      <c r="AG314" s="306">
        <f t="shared" ca="1" si="143"/>
        <v>2.8401734094171354</v>
      </c>
      <c r="AH314" s="304">
        <f t="shared" ca="1" si="144"/>
        <v>-0.36304251747296928</v>
      </c>
    </row>
    <row r="315" spans="1:34" x14ac:dyDescent="0.2">
      <c r="A315" s="347">
        <f t="shared" ca="1" si="122"/>
        <v>0.1</v>
      </c>
      <c r="B315" s="304">
        <f t="shared" ca="1" si="123"/>
        <v>16.299999999999923</v>
      </c>
      <c r="D315" s="306">
        <f t="shared" ca="1" si="124"/>
        <v>-0.34749648768917962</v>
      </c>
      <c r="E315" s="307">
        <f t="shared" ca="1" si="125"/>
        <v>-9.6729036029859774</v>
      </c>
      <c r="F315" s="304">
        <f t="shared" ca="1" si="126"/>
        <v>9.6791434497901427</v>
      </c>
      <c r="G315" s="306">
        <f t="shared" ca="1" si="127"/>
        <v>19.959078646847736</v>
      </c>
      <c r="H315" s="307">
        <f t="shared" ca="1" si="128"/>
        <v>-8.8553753308087462</v>
      </c>
      <c r="I315" s="304">
        <f t="shared" ca="1" si="129"/>
        <v>21.835349612052227</v>
      </c>
      <c r="J315" s="306">
        <f t="shared" ca="1" si="130"/>
        <v>453.21387548873304</v>
      </c>
      <c r="K315" s="307">
        <f t="shared" ca="1" si="131"/>
        <v>1461.9667766612552</v>
      </c>
      <c r="L315" s="304">
        <f t="shared" ca="1" si="116"/>
        <v>1530.6043489409069</v>
      </c>
      <c r="M315" s="306">
        <f t="shared" ca="1" si="132"/>
        <v>-0.41758292277695497</v>
      </c>
      <c r="N315" s="304">
        <f t="shared" ca="1" si="133"/>
        <v>-23.925739071856896</v>
      </c>
      <c r="P315" s="310">
        <f t="shared" ca="1" si="134"/>
        <v>23</v>
      </c>
      <c r="Q315" s="304">
        <f t="shared" ca="1" si="135"/>
        <v>0</v>
      </c>
      <c r="R315" s="306">
        <f t="shared" ca="1" si="136"/>
        <v>0</v>
      </c>
      <c r="S315" s="307">
        <f t="shared" ca="1" si="137"/>
        <v>2.6792999999999987</v>
      </c>
      <c r="T315" s="304">
        <f t="shared" ca="1" si="117"/>
        <v>26.283932999999987</v>
      </c>
      <c r="U315" s="311">
        <f t="shared" ca="1" si="118"/>
        <v>0</v>
      </c>
      <c r="V315" s="306">
        <f t="shared" ca="1" si="119"/>
        <v>1.0581085571004094</v>
      </c>
      <c r="W315" s="304">
        <f t="shared" ca="1" si="120"/>
        <v>1.0330548854734651</v>
      </c>
      <c r="Y315" s="314" t="str">
        <f t="shared" ca="1" si="138"/>
        <v/>
      </c>
      <c r="Z315" s="315" t="str">
        <f t="shared" ca="1" si="139"/>
        <v/>
      </c>
      <c r="AA315" s="316" t="str">
        <f t="shared" ca="1" si="140"/>
        <v/>
      </c>
      <c r="AC315" s="310" t="e">
        <f t="shared" ca="1" si="141"/>
        <v>#N/A</v>
      </c>
      <c r="AD315" s="323" t="e">
        <f t="shared" ca="1" si="142"/>
        <v>#N/A</v>
      </c>
      <c r="AE315" s="324" t="e">
        <f t="shared" ca="1" si="121"/>
        <v>#N/A</v>
      </c>
      <c r="AG315" s="306">
        <f t="shared" ca="1" si="143"/>
        <v>3.2266760524708715</v>
      </c>
      <c r="AH315" s="304">
        <f t="shared" ca="1" si="144"/>
        <v>-0.37356288765152112</v>
      </c>
    </row>
    <row r="316" spans="1:34" x14ac:dyDescent="0.2">
      <c r="A316" s="347">
        <f t="shared" ca="1" si="122"/>
        <v>0.1</v>
      </c>
      <c r="B316" s="304">
        <f t="shared" ca="1" si="123"/>
        <v>16.399999999999924</v>
      </c>
      <c r="D316" s="306">
        <f t="shared" ca="1" si="124"/>
        <v>-0.35243772674644297</v>
      </c>
      <c r="E316" s="307">
        <f t="shared" ca="1" si="125"/>
        <v>-9.6536316422066069</v>
      </c>
      <c r="F316" s="304">
        <f t="shared" ca="1" si="126"/>
        <v>9.6600629518987517</v>
      </c>
      <c r="G316" s="306">
        <f t="shared" ca="1" si="127"/>
        <v>19.923834874173092</v>
      </c>
      <c r="H316" s="307">
        <f t="shared" ca="1" si="128"/>
        <v>-9.8207384950294063</v>
      </c>
      <c r="I316" s="304">
        <f t="shared" ca="1" si="129"/>
        <v>22.212746356114284</v>
      </c>
      <c r="J316" s="306">
        <f t="shared" ca="1" si="130"/>
        <v>455.2080211647841</v>
      </c>
      <c r="K316" s="307">
        <f t="shared" ca="1" si="131"/>
        <v>1461.0329709699633</v>
      </c>
      <c r="L316" s="304">
        <f t="shared" ca="1" si="116"/>
        <v>1530.3044418657603</v>
      </c>
      <c r="M316" s="306">
        <f t="shared" ca="1" si="132"/>
        <v>-0.45796281151186236</v>
      </c>
      <c r="N316" s="304">
        <f t="shared" ca="1" si="133"/>
        <v>-26.239336273574946</v>
      </c>
      <c r="P316" s="310">
        <f t="shared" ca="1" si="134"/>
        <v>23</v>
      </c>
      <c r="Q316" s="304">
        <f t="shared" ca="1" si="135"/>
        <v>0</v>
      </c>
      <c r="R316" s="306">
        <f t="shared" ca="1" si="136"/>
        <v>0</v>
      </c>
      <c r="S316" s="307">
        <f t="shared" ca="1" si="137"/>
        <v>2.6792999999999987</v>
      </c>
      <c r="T316" s="304">
        <f t="shared" ca="1" si="117"/>
        <v>26.283932999999987</v>
      </c>
      <c r="U316" s="311">
        <f t="shared" ca="1" si="118"/>
        <v>0</v>
      </c>
      <c r="V316" s="306">
        <f t="shared" ca="1" si="119"/>
        <v>1.0582078989991588</v>
      </c>
      <c r="W316" s="304">
        <f t="shared" ca="1" si="120"/>
        <v>1.0691739859737279</v>
      </c>
      <c r="Y316" s="314" t="str">
        <f t="shared" ca="1" si="138"/>
        <v/>
      </c>
      <c r="Z316" s="315" t="str">
        <f t="shared" ca="1" si="139"/>
        <v/>
      </c>
      <c r="AA316" s="316" t="str">
        <f t="shared" ca="1" si="140"/>
        <v/>
      </c>
      <c r="AC316" s="310" t="e">
        <f t="shared" ca="1" si="141"/>
        <v>#N/A</v>
      </c>
      <c r="AD316" s="323" t="e">
        <f t="shared" ca="1" si="142"/>
        <v>#N/A</v>
      </c>
      <c r="AE316" s="324" t="e">
        <f t="shared" ca="1" si="121"/>
        <v>#N/A</v>
      </c>
      <c r="AG316" s="306">
        <f t="shared" ca="1" si="143"/>
        <v>3.5928986979700199</v>
      </c>
      <c r="AH316" s="304">
        <f t="shared" ca="1" si="144"/>
        <v>-0.38556894915592343</v>
      </c>
    </row>
    <row r="317" spans="1:34" x14ac:dyDescent="0.2">
      <c r="A317" s="347">
        <f t="shared" ca="1" si="122"/>
        <v>0.1</v>
      </c>
      <c r="B317" s="304">
        <f t="shared" ca="1" si="123"/>
        <v>16.499999999999925</v>
      </c>
      <c r="D317" s="306">
        <f t="shared" ca="1" si="124"/>
        <v>-0.35792968279084464</v>
      </c>
      <c r="E317" s="307">
        <f t="shared" ca="1" si="125"/>
        <v>-9.6335714240507837</v>
      </c>
      <c r="F317" s="304">
        <f t="shared" ca="1" si="126"/>
        <v>9.6402184643352662</v>
      </c>
      <c r="G317" s="306">
        <f t="shared" ca="1" si="127"/>
        <v>19.888041905894006</v>
      </c>
      <c r="H317" s="307">
        <f t="shared" ca="1" si="128"/>
        <v>-10.784095637434485</v>
      </c>
      <c r="I317" s="304">
        <f t="shared" ca="1" si="129"/>
        <v>22.623680725468382</v>
      </c>
      <c r="J317" s="306">
        <f t="shared" ca="1" si="130"/>
        <v>457.19861500378744</v>
      </c>
      <c r="K317" s="307">
        <f t="shared" ca="1" si="131"/>
        <v>1460.0027292633401</v>
      </c>
      <c r="L317" s="304">
        <f t="shared" ca="1" si="116"/>
        <v>1529.9145541558141</v>
      </c>
      <c r="M317" s="306">
        <f t="shared" ca="1" si="132"/>
        <v>-0.49686606957261797</v>
      </c>
      <c r="N317" s="304">
        <f t="shared" ca="1" si="133"/>
        <v>-28.46832876976454</v>
      </c>
      <c r="P317" s="310">
        <f t="shared" ca="1" si="134"/>
        <v>23</v>
      </c>
      <c r="Q317" s="304">
        <f t="shared" ca="1" si="135"/>
        <v>0</v>
      </c>
      <c r="R317" s="306">
        <f t="shared" ca="1" si="136"/>
        <v>0</v>
      </c>
      <c r="S317" s="307">
        <f t="shared" ca="1" si="137"/>
        <v>2.6792999999999987</v>
      </c>
      <c r="T317" s="304">
        <f t="shared" ca="1" si="117"/>
        <v>26.283932999999987</v>
      </c>
      <c r="U317" s="311">
        <f t="shared" ca="1" si="118"/>
        <v>0</v>
      </c>
      <c r="V317" s="306">
        <f t="shared" ca="1" si="119"/>
        <v>1.0583175101689297</v>
      </c>
      <c r="W317" s="304">
        <f t="shared" ca="1" si="120"/>
        <v>1.1092140898234555</v>
      </c>
      <c r="Y317" s="314" t="str">
        <f t="shared" ca="1" si="138"/>
        <v/>
      </c>
      <c r="Z317" s="315" t="str">
        <f t="shared" ca="1" si="139"/>
        <v/>
      </c>
      <c r="AA317" s="316" t="str">
        <f t="shared" ca="1" si="140"/>
        <v/>
      </c>
      <c r="AC317" s="310" t="e">
        <f t="shared" ca="1" si="141"/>
        <v>#N/A</v>
      </c>
      <c r="AD317" s="323" t="e">
        <f t="shared" ca="1" si="142"/>
        <v>#N/A</v>
      </c>
      <c r="AE317" s="324" t="e">
        <f t="shared" ca="1" si="121"/>
        <v>#N/A</v>
      </c>
      <c r="AG317" s="306">
        <f t="shared" ca="1" si="143"/>
        <v>3.9381647109215638</v>
      </c>
      <c r="AH317" s="304">
        <f t="shared" ca="1" si="144"/>
        <v>-0.39904974656579273</v>
      </c>
    </row>
    <row r="318" spans="1:34" x14ac:dyDescent="0.2">
      <c r="A318" s="347">
        <f t="shared" ca="1" si="122"/>
        <v>0.1</v>
      </c>
      <c r="B318" s="304">
        <f t="shared" ca="1" si="123"/>
        <v>16.599999999999927</v>
      </c>
      <c r="D318" s="306">
        <f t="shared" ca="1" si="124"/>
        <v>-0.36393413899038729</v>
      </c>
      <c r="E318" s="307">
        <f t="shared" ca="1" si="125"/>
        <v>-9.6126602830399008</v>
      </c>
      <c r="F318" s="304">
        <f t="shared" ca="1" si="126"/>
        <v>9.6195470670222001</v>
      </c>
      <c r="G318" s="306">
        <f t="shared" ca="1" si="127"/>
        <v>19.851648491994968</v>
      </c>
      <c r="H318" s="307">
        <f t="shared" ca="1" si="128"/>
        <v>-11.745361665738475</v>
      </c>
      <c r="I318" s="304">
        <f t="shared" ca="1" si="129"/>
        <v>23.066024115757898</v>
      </c>
      <c r="J318" s="306">
        <f t="shared" ca="1" si="130"/>
        <v>459.1855995236819</v>
      </c>
      <c r="K318" s="307">
        <f t="shared" ca="1" si="131"/>
        <v>1458.8762563981816</v>
      </c>
      <c r="L318" s="304">
        <f t="shared" ca="1" si="116"/>
        <v>1529.4349761569781</v>
      </c>
      <c r="M318" s="306">
        <f t="shared" ca="1" si="132"/>
        <v>-0.53426216488504941</v>
      </c>
      <c r="N318" s="304">
        <f t="shared" ca="1" si="133"/>
        <v>-30.610967201435823</v>
      </c>
      <c r="P318" s="310">
        <f t="shared" ca="1" si="134"/>
        <v>23</v>
      </c>
      <c r="Q318" s="304">
        <f t="shared" ca="1" si="135"/>
        <v>0</v>
      </c>
      <c r="R318" s="306">
        <f t="shared" ca="1" si="136"/>
        <v>0</v>
      </c>
      <c r="S318" s="307">
        <f t="shared" ca="1" si="137"/>
        <v>2.6792999999999987</v>
      </c>
      <c r="T318" s="304">
        <f t="shared" ca="1" si="117"/>
        <v>26.283932999999987</v>
      </c>
      <c r="U318" s="311">
        <f t="shared" ca="1" si="118"/>
        <v>0</v>
      </c>
      <c r="V318" s="306">
        <f t="shared" ca="1" si="119"/>
        <v>1.0584373717677857</v>
      </c>
      <c r="W318" s="304">
        <f t="shared" ca="1" si="120"/>
        <v>1.1531439336214364</v>
      </c>
      <c r="Y318" s="314" t="str">
        <f t="shared" ca="1" si="138"/>
        <v/>
      </c>
      <c r="Z318" s="315" t="str">
        <f t="shared" ca="1" si="139"/>
        <v/>
      </c>
      <c r="AA318" s="316" t="str">
        <f t="shared" ca="1" si="140"/>
        <v/>
      </c>
      <c r="AC318" s="310" t="e">
        <f t="shared" ca="1" si="141"/>
        <v>#N/A</v>
      </c>
      <c r="AD318" s="323" t="e">
        <f t="shared" ca="1" si="142"/>
        <v>#N/A</v>
      </c>
      <c r="AE318" s="324" t="e">
        <f t="shared" ca="1" si="121"/>
        <v>#N/A</v>
      </c>
      <c r="AG318" s="306">
        <f t="shared" ca="1" si="143"/>
        <v>4.2621672213882311</v>
      </c>
      <c r="AH318" s="304">
        <f t="shared" ca="1" si="144"/>
        <v>-0.41399398716958014</v>
      </c>
    </row>
    <row r="319" spans="1:34" x14ac:dyDescent="0.2">
      <c r="A319" s="347">
        <f t="shared" ca="1" si="122"/>
        <v>0.1</v>
      </c>
      <c r="B319" s="304">
        <f t="shared" ca="1" si="123"/>
        <v>16.699999999999928</v>
      </c>
      <c r="D319" s="306">
        <f t="shared" ca="1" si="124"/>
        <v>-0.37041282020046007</v>
      </c>
      <c r="E319" s="307">
        <f t="shared" ca="1" si="125"/>
        <v>-9.5908427576866018</v>
      </c>
      <c r="F319" s="304">
        <f t="shared" ca="1" si="126"/>
        <v>9.5979930433418428</v>
      </c>
      <c r="G319" s="306">
        <f t="shared" ca="1" si="127"/>
        <v>19.814607209974923</v>
      </c>
      <c r="H319" s="307">
        <f t="shared" ca="1" si="128"/>
        <v>-12.704445941507135</v>
      </c>
      <c r="I319" s="304">
        <f t="shared" ca="1" si="129"/>
        <v>23.53766355368067</v>
      </c>
      <c r="J319" s="306">
        <f t="shared" ca="1" si="130"/>
        <v>461.16891230878042</v>
      </c>
      <c r="K319" s="307">
        <f t="shared" ca="1" si="131"/>
        <v>1457.6537660178192</v>
      </c>
      <c r="L319" s="304">
        <f t="shared" ca="1" si="116"/>
        <v>1528.866006969216</v>
      </c>
      <c r="M319" s="306">
        <f t="shared" ca="1" si="132"/>
        <v>-0.57013970560318084</v>
      </c>
      <c r="N319" s="304">
        <f t="shared" ca="1" si="133"/>
        <v>-32.666598863893512</v>
      </c>
      <c r="P319" s="310">
        <f t="shared" ca="1" si="134"/>
        <v>23</v>
      </c>
      <c r="Q319" s="304">
        <f t="shared" ca="1" si="135"/>
        <v>0</v>
      </c>
      <c r="R319" s="306">
        <f t="shared" ca="1" si="136"/>
        <v>0</v>
      </c>
      <c r="S319" s="307">
        <f t="shared" ca="1" si="137"/>
        <v>2.6792999999999987</v>
      </c>
      <c r="T319" s="304">
        <f t="shared" ca="1" si="117"/>
        <v>26.283932999999987</v>
      </c>
      <c r="U319" s="311">
        <f t="shared" ca="1" si="118"/>
        <v>0</v>
      </c>
      <c r="V319" s="306">
        <f t="shared" ca="1" si="119"/>
        <v>1.0585674642863614</v>
      </c>
      <c r="W319" s="304">
        <f t="shared" ca="1" si="120"/>
        <v>1.2009311575541579</v>
      </c>
      <c r="Y319" s="314" t="str">
        <f t="shared" ca="1" si="138"/>
        <v/>
      </c>
      <c r="Z319" s="315" t="str">
        <f t="shared" ca="1" si="139"/>
        <v/>
      </c>
      <c r="AA319" s="316" t="str">
        <f t="shared" ca="1" si="140"/>
        <v/>
      </c>
      <c r="AC319" s="310" t="e">
        <f t="shared" ca="1" si="141"/>
        <v>#N/A</v>
      </c>
      <c r="AD319" s="323" t="e">
        <f t="shared" ca="1" si="142"/>
        <v>#N/A</v>
      </c>
      <c r="AE319" s="324" t="e">
        <f t="shared" ca="1" si="121"/>
        <v>#N/A</v>
      </c>
      <c r="AG319" s="306">
        <f t="shared" ca="1" si="143"/>
        <v>4.5649224693550901</v>
      </c>
      <c r="AH319" s="304">
        <f t="shared" ca="1" si="144"/>
        <v>-0.43039000247133091</v>
      </c>
    </row>
    <row r="320" spans="1:34" x14ac:dyDescent="0.2">
      <c r="A320" s="347">
        <f t="shared" ca="1" si="122"/>
        <v>0.1</v>
      </c>
      <c r="B320" s="304">
        <f t="shared" ca="1" si="123"/>
        <v>16.79999999999993</v>
      </c>
      <c r="D320" s="306">
        <f t="shared" ca="1" si="124"/>
        <v>-0.37732787109932842</v>
      </c>
      <c r="E320" s="307">
        <f t="shared" ca="1" si="125"/>
        <v>-9.5680703220706711</v>
      </c>
      <c r="F320" s="304">
        <f t="shared" ca="1" si="126"/>
        <v>9.5755076111085575</v>
      </c>
      <c r="G320" s="306">
        <f t="shared" ca="1" si="127"/>
        <v>19.776874422864992</v>
      </c>
      <c r="H320" s="307">
        <f t="shared" ca="1" si="128"/>
        <v>-13.661252973714202</v>
      </c>
      <c r="I320" s="304">
        <f t="shared" ca="1" si="129"/>
        <v>24.036526262120045</v>
      </c>
      <c r="J320" s="306">
        <f t="shared" ca="1" si="130"/>
        <v>463.14848639042242</v>
      </c>
      <c r="K320" s="307">
        <f t="shared" ca="1" si="131"/>
        <v>1456.3354810720582</v>
      </c>
      <c r="L320" s="304">
        <f t="shared" ca="1" si="116"/>
        <v>1528.207955049025</v>
      </c>
      <c r="M320" s="306">
        <f t="shared" ca="1" si="132"/>
        <v>-0.60450379968165635</v>
      </c>
      <c r="N320" s="304">
        <f t="shared" ca="1" si="133"/>
        <v>-34.635516421380665</v>
      </c>
      <c r="P320" s="310">
        <f t="shared" ca="1" si="134"/>
        <v>23</v>
      </c>
      <c r="Q320" s="304">
        <f t="shared" ca="1" si="135"/>
        <v>0</v>
      </c>
      <c r="R320" s="306">
        <f t="shared" ca="1" si="136"/>
        <v>0</v>
      </c>
      <c r="S320" s="307">
        <f t="shared" ca="1" si="137"/>
        <v>2.6792999999999987</v>
      </c>
      <c r="T320" s="304">
        <f t="shared" ca="1" si="117"/>
        <v>26.283932999999987</v>
      </c>
      <c r="U320" s="311">
        <f t="shared" ca="1" si="118"/>
        <v>0</v>
      </c>
      <c r="V320" s="306">
        <f t="shared" ca="1" si="119"/>
        <v>1.0587077674902077</v>
      </c>
      <c r="W320" s="304">
        <f t="shared" ca="1" si="120"/>
        <v>1.2525422289314156</v>
      </c>
      <c r="Y320" s="314" t="str">
        <f t="shared" ca="1" si="138"/>
        <v/>
      </c>
      <c r="Z320" s="315" t="str">
        <f t="shared" ca="1" si="139"/>
        <v/>
      </c>
      <c r="AA320" s="316" t="str">
        <f t="shared" ca="1" si="140"/>
        <v/>
      </c>
      <c r="AC320" s="310" t="e">
        <f t="shared" ca="1" si="141"/>
        <v>#N/A</v>
      </c>
      <c r="AD320" s="323" t="e">
        <f t="shared" ca="1" si="142"/>
        <v>#N/A</v>
      </c>
      <c r="AE320" s="324" t="e">
        <f t="shared" ca="1" si="121"/>
        <v>#N/A</v>
      </c>
      <c r="AG320" s="306">
        <f t="shared" ca="1" si="143"/>
        <v>4.8467184670178183</v>
      </c>
      <c r="AH320" s="304">
        <f t="shared" ca="1" si="144"/>
        <v>-0.44822571475913803</v>
      </c>
    </row>
    <row r="321" spans="1:34" x14ac:dyDescent="0.2">
      <c r="A321" s="347">
        <f t="shared" ca="1" si="122"/>
        <v>0.1</v>
      </c>
      <c r="B321" s="304">
        <f t="shared" ca="1" si="123"/>
        <v>16.899999999999931</v>
      </c>
      <c r="D321" s="306">
        <f t="shared" ca="1" si="124"/>
        <v>-0.38464224842271949</v>
      </c>
      <c r="E321" s="307">
        <f t="shared" ca="1" si="125"/>
        <v>-9.5443010352532873</v>
      </c>
      <c r="F321" s="304">
        <f t="shared" ca="1" si="126"/>
        <v>9.5520485714221888</v>
      </c>
      <c r="G321" s="306">
        <f t="shared" ca="1" si="127"/>
        <v>19.73841019802272</v>
      </c>
      <c r="H321" s="307">
        <f t="shared" ca="1" si="128"/>
        <v>-14.615683077239531</v>
      </c>
      <c r="I321" s="304">
        <f t="shared" ca="1" si="129"/>
        <v>24.560599116465244</v>
      </c>
      <c r="J321" s="306">
        <f t="shared" ca="1" si="130"/>
        <v>465.12425062146679</v>
      </c>
      <c r="K321" s="307">
        <f t="shared" ca="1" si="131"/>
        <v>1454.9216342695106</v>
      </c>
      <c r="L321" s="304">
        <f t="shared" ca="1" si="116"/>
        <v>1527.4611387467914</v>
      </c>
      <c r="M321" s="306">
        <f t="shared" ca="1" si="132"/>
        <v>-0.63737338372579866</v>
      </c>
      <c r="N321" s="304">
        <f t="shared" ca="1" si="133"/>
        <v>-36.518804861460573</v>
      </c>
      <c r="P321" s="310">
        <f t="shared" ca="1" si="134"/>
        <v>23</v>
      </c>
      <c r="Q321" s="304">
        <f t="shared" ca="1" si="135"/>
        <v>0</v>
      </c>
      <c r="R321" s="306">
        <f t="shared" ca="1" si="136"/>
        <v>0</v>
      </c>
      <c r="S321" s="307">
        <f t="shared" ca="1" si="137"/>
        <v>2.6792999999999987</v>
      </c>
      <c r="T321" s="304">
        <f t="shared" ca="1" si="117"/>
        <v>26.283932999999987</v>
      </c>
      <c r="U321" s="311">
        <f t="shared" ca="1" si="118"/>
        <v>0</v>
      </c>
      <c r="V321" s="306">
        <f t="shared" ca="1" si="119"/>
        <v>1.058858260369187</v>
      </c>
      <c r="W321" s="304">
        <f t="shared" ca="1" si="120"/>
        <v>1.3079423782212489</v>
      </c>
      <c r="Y321" s="314" t="str">
        <f t="shared" ca="1" si="138"/>
        <v/>
      </c>
      <c r="Z321" s="315" t="str">
        <f t="shared" ca="1" si="139"/>
        <v/>
      </c>
      <c r="AA321" s="316" t="str">
        <f t="shared" ca="1" si="140"/>
        <v/>
      </c>
      <c r="AC321" s="310" t="e">
        <f t="shared" ca="1" si="141"/>
        <v>#N/A</v>
      </c>
      <c r="AD321" s="323" t="e">
        <f t="shared" ca="1" si="142"/>
        <v>#N/A</v>
      </c>
      <c r="AE321" s="324" t="e">
        <f t="shared" ca="1" si="121"/>
        <v>#N/A</v>
      </c>
      <c r="AG321" s="306">
        <f t="shared" ca="1" si="143"/>
        <v>5.1080629586890893</v>
      </c>
      <c r="AH321" s="304">
        <f t="shared" ca="1" si="144"/>
        <v>-0.46748860856619873</v>
      </c>
    </row>
    <row r="322" spans="1:34" x14ac:dyDescent="0.2">
      <c r="A322" s="347">
        <f t="shared" ca="1" si="122"/>
        <v>0.1</v>
      </c>
      <c r="B322" s="304">
        <f t="shared" ca="1" si="123"/>
        <v>16.999999999999932</v>
      </c>
      <c r="D322" s="306">
        <f t="shared" ca="1" si="124"/>
        <v>-0.39232002931506577</v>
      </c>
      <c r="E322" s="307">
        <f t="shared" ca="1" si="125"/>
        <v>-9.519499136161599</v>
      </c>
      <c r="F322" s="304">
        <f t="shared" ca="1" si="126"/>
        <v>9.5275799030385038</v>
      </c>
      <c r="G322" s="306">
        <f t="shared" ca="1" si="127"/>
        <v>19.699178195091214</v>
      </c>
      <c r="H322" s="307">
        <f t="shared" ca="1" si="128"/>
        <v>-15.567632990855691</v>
      </c>
      <c r="I322" s="304">
        <f t="shared" ca="1" si="129"/>
        <v>25.107943334728468</v>
      </c>
      <c r="J322" s="306">
        <f t="shared" ca="1" si="130"/>
        <v>467.09613004112248</v>
      </c>
      <c r="K322" s="307">
        <f t="shared" ca="1" si="131"/>
        <v>1453.4124684661058</v>
      </c>
      <c r="L322" s="304">
        <f t="shared" ca="1" si="116"/>
        <v>1526.6258867817394</v>
      </c>
      <c r="M322" s="306">
        <f t="shared" ca="1" si="132"/>
        <v>-0.66877864953776744</v>
      </c>
      <c r="N322" s="304">
        <f t="shared" ca="1" si="133"/>
        <v>-38.318194046972877</v>
      </c>
      <c r="P322" s="310">
        <f t="shared" ca="1" si="134"/>
        <v>23</v>
      </c>
      <c r="Q322" s="304">
        <f t="shared" ca="1" si="135"/>
        <v>0</v>
      </c>
      <c r="R322" s="306">
        <f t="shared" ca="1" si="136"/>
        <v>0</v>
      </c>
      <c r="S322" s="307">
        <f t="shared" ca="1" si="137"/>
        <v>2.6792999999999987</v>
      </c>
      <c r="T322" s="304">
        <f t="shared" ca="1" si="117"/>
        <v>26.283932999999987</v>
      </c>
      <c r="U322" s="311">
        <f t="shared" ca="1" si="118"/>
        <v>0</v>
      </c>
      <c r="V322" s="306">
        <f t="shared" ca="1" si="119"/>
        <v>1.0590189210935095</v>
      </c>
      <c r="W322" s="304">
        <f t="shared" ca="1" si="120"/>
        <v>1.3670955468666957</v>
      </c>
      <c r="Y322" s="314" t="str">
        <f t="shared" ca="1" si="138"/>
        <v/>
      </c>
      <c r="Z322" s="315" t="str">
        <f t="shared" ca="1" si="139"/>
        <v/>
      </c>
      <c r="AA322" s="316" t="str">
        <f t="shared" ca="1" si="140"/>
        <v/>
      </c>
      <c r="AC322" s="310">
        <f t="shared" ca="1" si="141"/>
        <v>16.999999999999932</v>
      </c>
      <c r="AD322" s="323">
        <f t="shared" ca="1" si="142"/>
        <v>467.09613004112248</v>
      </c>
      <c r="AE322" s="324" t="e">
        <f t="shared" ca="1" si="121"/>
        <v>#N/A</v>
      </c>
      <c r="AG322" s="306">
        <f t="shared" ca="1" si="143"/>
        <v>5.3496337014266615</v>
      </c>
      <c r="AH322" s="304">
        <f t="shared" ca="1" si="144"/>
        <v>-0.48816570679701771</v>
      </c>
    </row>
    <row r="323" spans="1:34" x14ac:dyDescent="0.2">
      <c r="A323" s="347">
        <f t="shared" ca="1" si="122"/>
        <v>0.1</v>
      </c>
      <c r="B323" s="304">
        <f t="shared" ca="1" si="123"/>
        <v>17.099999999999934</v>
      </c>
      <c r="D323" s="306">
        <f t="shared" ca="1" si="124"/>
        <v>-0.4003266418514686</v>
      </c>
      <c r="E323" s="307">
        <f t="shared" ca="1" si="125"/>
        <v>-9.4936346077442781</v>
      </c>
      <c r="F323" s="304">
        <f t="shared" ca="1" si="126"/>
        <v>9.502071326060225</v>
      </c>
      <c r="G323" s="306">
        <f t="shared" ca="1" si="127"/>
        <v>19.659145530906066</v>
      </c>
      <c r="H323" s="307">
        <f t="shared" ca="1" si="128"/>
        <v>-16.516996451630117</v>
      </c>
      <c r="I323" s="304">
        <f t="shared" ca="1" si="129"/>
        <v>25.676704905195798</v>
      </c>
      <c r="J323" s="306">
        <f t="shared" ca="1" si="130"/>
        <v>469.06404622742235</v>
      </c>
      <c r="K323" s="307">
        <f t="shared" ca="1" si="131"/>
        <v>1451.8082369939816</v>
      </c>
      <c r="L323" s="304">
        <f t="shared" ca="1" si="116"/>
        <v>1525.7025386577866</v>
      </c>
      <c r="M323" s="306">
        <f t="shared" ca="1" si="132"/>
        <v>-0.69875865762923639</v>
      </c>
      <c r="N323" s="304">
        <f t="shared" ca="1" si="133"/>
        <v>-40.035921980382106</v>
      </c>
      <c r="P323" s="310">
        <f t="shared" ca="1" si="134"/>
        <v>23</v>
      </c>
      <c r="Q323" s="304">
        <f t="shared" ca="1" si="135"/>
        <v>0</v>
      </c>
      <c r="R323" s="306">
        <f t="shared" ca="1" si="136"/>
        <v>0</v>
      </c>
      <c r="S323" s="307">
        <f t="shared" ca="1" si="137"/>
        <v>2.6792999999999987</v>
      </c>
      <c r="T323" s="304">
        <f t="shared" ca="1" si="117"/>
        <v>26.283932999999987</v>
      </c>
      <c r="U323" s="311">
        <f t="shared" ca="1" si="118"/>
        <v>0</v>
      </c>
      <c r="V323" s="306">
        <f t="shared" ca="1" si="119"/>
        <v>1.0591897269759634</v>
      </c>
      <c r="W323" s="304">
        <f t="shared" ca="1" si="120"/>
        <v>1.4299643461012741</v>
      </c>
      <c r="Y323" s="314" t="str">
        <f t="shared" ca="1" si="138"/>
        <v/>
      </c>
      <c r="Z323" s="315" t="str">
        <f t="shared" ca="1" si="139"/>
        <v/>
      </c>
      <c r="AA323" s="316" t="str">
        <f t="shared" ca="1" si="140"/>
        <v/>
      </c>
      <c r="AC323" s="310" t="e">
        <f t="shared" ca="1" si="141"/>
        <v>#N/A</v>
      </c>
      <c r="AD323" s="323" t="e">
        <f t="shared" ca="1" si="142"/>
        <v>#N/A</v>
      </c>
      <c r="AE323" s="324" t="e">
        <f t="shared" ca="1" si="121"/>
        <v>#N/A</v>
      </c>
      <c r="AG323" s="306">
        <f t="shared" ca="1" si="143"/>
        <v>5.5722331217411787</v>
      </c>
      <c r="AH323" s="304">
        <f t="shared" ca="1" si="144"/>
        <v>-0.51024355125095966</v>
      </c>
    </row>
    <row r="324" spans="1:34" x14ac:dyDescent="0.2">
      <c r="A324" s="347">
        <f t="shared" ca="1" si="122"/>
        <v>0.1</v>
      </c>
      <c r="B324" s="304">
        <f t="shared" ca="1" si="123"/>
        <v>17.199999999999935</v>
      </c>
      <c r="D324" s="306">
        <f t="shared" ca="1" si="124"/>
        <v>-0.40862902630772935</v>
      </c>
      <c r="E324" s="307">
        <f t="shared" ca="1" si="125"/>
        <v>-9.466682729829369</v>
      </c>
      <c r="F324" s="304">
        <f t="shared" ca="1" si="126"/>
        <v>9.4754978543816275</v>
      </c>
      <c r="G324" s="306">
        <f t="shared" ca="1" si="127"/>
        <v>19.618282628275292</v>
      </c>
      <c r="H324" s="307">
        <f t="shared" ca="1" si="128"/>
        <v>-17.463664724613054</v>
      </c>
      <c r="I324" s="304">
        <f t="shared" ca="1" si="129"/>
        <v>26.265121337937551</v>
      </c>
      <c r="J324" s="306">
        <f t="shared" ca="1" si="130"/>
        <v>471.02791763538141</v>
      </c>
      <c r="K324" s="307">
        <f t="shared" ca="1" si="131"/>
        <v>1450.1092039351695</v>
      </c>
      <c r="L324" s="304">
        <f t="shared" ref="L324:L387" ca="1" si="145">SQRT(pos_x^2+pos_z^2)</f>
        <v>1524.6914450240135</v>
      </c>
      <c r="M324" s="306">
        <f t="shared" ca="1" si="132"/>
        <v>-0.72735919238562274</v>
      </c>
      <c r="N324" s="304">
        <f t="shared" ca="1" si="133"/>
        <v>-41.674611913740264</v>
      </c>
      <c r="P324" s="310">
        <f t="shared" ca="1" si="134"/>
        <v>23</v>
      </c>
      <c r="Q324" s="304">
        <f t="shared" ca="1" si="135"/>
        <v>0</v>
      </c>
      <c r="R324" s="306">
        <f t="shared" ca="1" si="136"/>
        <v>0</v>
      </c>
      <c r="S324" s="307">
        <f t="shared" ca="1" si="137"/>
        <v>2.6792999999999987</v>
      </c>
      <c r="T324" s="304">
        <f t="shared" ref="T324:T387" ca="1" si="146">m*g</f>
        <v>26.283932999999987</v>
      </c>
      <c r="U324" s="311">
        <f t="shared" ref="U324:U387" ca="1" si="147">IF(pos_xz&lt;L_rampe,Poids*COS(Beta),0)</f>
        <v>0</v>
      </c>
      <c r="V324" s="306">
        <f t="shared" ref="V324:V387" ca="1" si="148">Rho_moyen*(20000-Alt_rampe-pos_z)/(20000+Alt_rampe+pos_z)</f>
        <v>1.0593706544398673</v>
      </c>
      <c r="W324" s="304">
        <f t="shared" ref="W324:W387" ca="1" si="149">1/2*Rho*Sref*Cx*vit_xz^2</f>
        <v>1.4965100259499589</v>
      </c>
      <c r="Y324" s="314" t="str">
        <f t="shared" ca="1" si="138"/>
        <v/>
      </c>
      <c r="Z324" s="315" t="str">
        <f t="shared" ca="1" si="139"/>
        <v/>
      </c>
      <c r="AA324" s="316" t="str">
        <f t="shared" ca="1" si="140"/>
        <v/>
      </c>
      <c r="AC324" s="310" t="e">
        <f t="shared" ca="1" si="141"/>
        <v>#N/A</v>
      </c>
      <c r="AD324" s="323" t="e">
        <f t="shared" ca="1" si="142"/>
        <v>#N/A</v>
      </c>
      <c r="AE324" s="324" t="e">
        <f t="shared" ref="AE324:AE387" ca="1" si="150">IF(t&lt;T_para, pos_z, NA())</f>
        <v>#N/A</v>
      </c>
      <c r="AG324" s="306">
        <f t="shared" ca="1" si="143"/>
        <v>5.7767485395273175</v>
      </c>
      <c r="AH324" s="304">
        <f t="shared" ca="1" si="144"/>
        <v>-0.53370818725087699</v>
      </c>
    </row>
    <row r="325" spans="1:34" x14ac:dyDescent="0.2">
      <c r="A325" s="347">
        <f t="shared" ref="A325:A388" ca="1" si="151">IF(B324+0.01&lt;=T_ini+ROUNDUP(Temps_fin_propu,0), 0.01, IF(K324&gt;0, 0.1, 0.0001))</f>
        <v>0.1</v>
      </c>
      <c r="B325" s="304">
        <f t="shared" ref="B325:B388" ca="1" si="152">B324+pas</f>
        <v>17.299999999999937</v>
      </c>
      <c r="D325" s="306">
        <f t="shared" ref="D325:D388" ca="1" si="153">IF(AND(L324&lt;L_rampe,Poussee&lt;Poids*SIN(M324)),0,(-W324+Poussee)/m*COS(M324)-U324/m*SIN(M324))</f>
        <v>-0.41719573700196</v>
      </c>
      <c r="E325" s="307">
        <f t="shared" ref="E325:E388" ca="1" si="154">IF(AND(L324&lt;L_rampe,Poussee&lt;Poids*SIN(M324)),0,(-W324+Poussee)/m*SIN(M324)+U324/m*COS(M324)-Poids/m)</f>
        <v>-9.4386236357386704</v>
      </c>
      <c r="F325" s="304">
        <f t="shared" ref="F325:F388" ca="1" si="155">SQRT(acc_x^2+acc_z^2)</f>
        <v>9.4478393519416528</v>
      </c>
      <c r="G325" s="306">
        <f t="shared" ref="G325:G388" ca="1" si="156">G324+acc_x*pas</f>
        <v>19.576563054575097</v>
      </c>
      <c r="H325" s="307">
        <f t="shared" ref="H325:H388" ca="1" si="157">H324+acc_z*pas</f>
        <v>-18.407527088186921</v>
      </c>
      <c r="I325" s="304">
        <f t="shared" ref="I325:I388" ca="1" si="158">SQRT(vit_x^2+vit_z^2)</f>
        <v>26.871525348072257</v>
      </c>
      <c r="J325" s="306">
        <f t="shared" ref="J325:J388" ca="1" si="159">J324+0.5*(vit_x+G324)*pas*(K324&gt;=0)</f>
        <v>472.98765991952394</v>
      </c>
      <c r="K325" s="307">
        <f t="shared" ref="K325:K388" ca="1" si="160">K324+0.5*(vit_z+H324)*pas</f>
        <v>1448.3156443445296</v>
      </c>
      <c r="L325" s="304">
        <f t="shared" ca="1" si="145"/>
        <v>1523.5929679836597</v>
      </c>
      <c r="M325" s="306">
        <f t="shared" ref="M325:M388" ca="1" si="161">IF(AND(L324&gt;L_rampe,G325&gt;0),ATAN2(G325,H325),$M$4)</f>
        <v>-0.75463088533441147</v>
      </c>
      <c r="N325" s="304">
        <f t="shared" ref="N325:N388" ca="1" si="162">DEGREES(Beta)</f>
        <v>-43.237164819882551</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2.6792999999999987</v>
      </c>
      <c r="T325" s="304">
        <f t="shared" ca="1" si="146"/>
        <v>26.283932999999987</v>
      </c>
      <c r="U325" s="311">
        <f t="shared" ca="1" si="147"/>
        <v>0</v>
      </c>
      <c r="V325" s="306">
        <f t="shared" ca="1" si="148"/>
        <v>1.0595616789922744</v>
      </c>
      <c r="W325" s="304">
        <f t="shared" ca="1" si="149"/>
        <v>1.566692453600242</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t="e">
        <f t="shared" ca="1" si="150"/>
        <v>#N/A</v>
      </c>
      <c r="AG325" s="306">
        <f t="shared" ref="AG325:AG388" ca="1" si="172">IF(AND(L324&lt;L_rampe,Poussee&lt;Poids*SIN(M324)),0,(-W324+Poussee)/m-Poids*SIN(M324)/m)</f>
        <v>5.9641184497506332</v>
      </c>
      <c r="AH325" s="304">
        <f t="shared" ref="AH325:AH388" ca="1" si="173">IF(AND(L324&lt;L_rampe,Poussee&lt;Poids*SIN(M324)), g*SIN(M324), (-W324+Poussee)/m)</f>
        <v>-0.5585451520732877</v>
      </c>
    </row>
    <row r="326" spans="1:34" x14ac:dyDescent="0.2">
      <c r="A326" s="347">
        <f t="shared" ca="1" si="151"/>
        <v>0.1</v>
      </c>
      <c r="B326" s="304">
        <f t="shared" ca="1" si="152"/>
        <v>17.399999999999938</v>
      </c>
      <c r="D326" s="306">
        <f t="shared" ca="1" si="153"/>
        <v>-0.42599699479334885</v>
      </c>
      <c r="E326" s="307">
        <f t="shared" ca="1" si="154"/>
        <v>-9.4094418836807936</v>
      </c>
      <c r="F326" s="304">
        <f t="shared" ca="1" si="155"/>
        <v>9.4190801038073424</v>
      </c>
      <c r="G326" s="306">
        <f t="shared" ca="1" si="156"/>
        <v>19.533963355095761</v>
      </c>
      <c r="H326" s="307">
        <f t="shared" ca="1" si="157"/>
        <v>-19.348471276554999</v>
      </c>
      <c r="I326" s="304">
        <f t="shared" ca="1" si="158"/>
        <v>27.494346056924101</v>
      </c>
      <c r="J326" s="306">
        <f t="shared" ca="1" si="159"/>
        <v>474.94318624000749</v>
      </c>
      <c r="K326" s="307">
        <f t="shared" ca="1" si="160"/>
        <v>1446.4278444262925</v>
      </c>
      <c r="L326" s="304">
        <f t="shared" ca="1" si="145"/>
        <v>1522.4074813555999</v>
      </c>
      <c r="M326" s="306">
        <f t="shared" ca="1" si="161"/>
        <v>-0.78062761152376203</v>
      </c>
      <c r="N326" s="304">
        <f t="shared" ca="1" si="162"/>
        <v>-44.726667511689548</v>
      </c>
      <c r="P326" s="310">
        <f t="shared" ca="1" si="163"/>
        <v>23</v>
      </c>
      <c r="Q326" s="304">
        <f t="shared" ca="1" si="164"/>
        <v>0</v>
      </c>
      <c r="R326" s="306">
        <f t="shared" ca="1" si="165"/>
        <v>0</v>
      </c>
      <c r="S326" s="307">
        <f t="shared" ca="1" si="166"/>
        <v>2.6792999999999987</v>
      </c>
      <c r="T326" s="304">
        <f t="shared" ca="1" si="146"/>
        <v>26.283932999999987</v>
      </c>
      <c r="U326" s="311">
        <f t="shared" ca="1" si="147"/>
        <v>0</v>
      </c>
      <c r="V326" s="306">
        <f t="shared" ca="1" si="148"/>
        <v>1.0597627752019598</v>
      </c>
      <c r="W326" s="304">
        <f t="shared" ca="1" si="149"/>
        <v>1.6404701003466675</v>
      </c>
      <c r="Y326" s="314" t="str">
        <f t="shared" ca="1" si="167"/>
        <v/>
      </c>
      <c r="Z326" s="315" t="str">
        <f t="shared" ca="1" si="168"/>
        <v/>
      </c>
      <c r="AA326" s="316" t="str">
        <f t="shared" ca="1" si="169"/>
        <v/>
      </c>
      <c r="AC326" s="310" t="e">
        <f t="shared" ca="1" si="170"/>
        <v>#N/A</v>
      </c>
      <c r="AD326" s="323" t="e">
        <f t="shared" ca="1" si="171"/>
        <v>#N/A</v>
      </c>
      <c r="AE326" s="324" t="e">
        <f t="shared" ca="1" si="150"/>
        <v>#N/A</v>
      </c>
      <c r="AG326" s="306">
        <f t="shared" ca="1" si="172"/>
        <v>6.1353048326588766</v>
      </c>
      <c r="AH326" s="304">
        <f t="shared" ca="1" si="173"/>
        <v>-0.58473946687576706</v>
      </c>
    </row>
    <row r="327" spans="1:34" x14ac:dyDescent="0.2">
      <c r="A327" s="347">
        <f t="shared" ca="1" si="151"/>
        <v>0.1</v>
      </c>
      <c r="B327" s="304">
        <f t="shared" ca="1" si="152"/>
        <v>17.49999999999994</v>
      </c>
      <c r="D327" s="306">
        <f t="shared" ca="1" si="153"/>
        <v>-0.43500469989395002</v>
      </c>
      <c r="E327" s="307">
        <f t="shared" ca="1" si="154"/>
        <v>-9.3791260504556604</v>
      </c>
      <c r="F327" s="304">
        <f t="shared" ca="1" si="155"/>
        <v>9.389208409619302</v>
      </c>
      <c r="G327" s="306">
        <f t="shared" ca="1" si="156"/>
        <v>19.490462885106364</v>
      </c>
      <c r="H327" s="307">
        <f t="shared" ca="1" si="157"/>
        <v>-20.286383881600564</v>
      </c>
      <c r="I327" s="304">
        <f t="shared" ca="1" si="158"/>
        <v>28.132108247825506</v>
      </c>
      <c r="J327" s="306">
        <f t="shared" ca="1" si="159"/>
        <v>476.89440755201758</v>
      </c>
      <c r="K327" s="307">
        <f t="shared" ca="1" si="160"/>
        <v>1444.4461016683847</v>
      </c>
      <c r="L327" s="304">
        <f t="shared" ca="1" si="145"/>
        <v>1521.1353708922106</v>
      </c>
      <c r="M327" s="306">
        <f t="shared" ca="1" si="161"/>
        <v>-0.80540514890293768</v>
      </c>
      <c r="N327" s="304">
        <f t="shared" ca="1" si="162"/>
        <v>-46.146315830243957</v>
      </c>
      <c r="P327" s="310">
        <f t="shared" ca="1" si="163"/>
        <v>23</v>
      </c>
      <c r="Q327" s="304">
        <f t="shared" ca="1" si="164"/>
        <v>0</v>
      </c>
      <c r="R327" s="306">
        <f t="shared" ca="1" si="165"/>
        <v>0</v>
      </c>
      <c r="S327" s="307">
        <f t="shared" ca="1" si="166"/>
        <v>2.6792999999999987</v>
      </c>
      <c r="T327" s="304">
        <f t="shared" ca="1" si="146"/>
        <v>26.283932999999987</v>
      </c>
      <c r="U327" s="311">
        <f t="shared" ca="1" si="147"/>
        <v>0</v>
      </c>
      <c r="V327" s="306">
        <f t="shared" ca="1" si="148"/>
        <v>1.059973916681755</v>
      </c>
      <c r="W327" s="304">
        <f t="shared" ca="1" si="149"/>
        <v>1.7178000363457671</v>
      </c>
      <c r="Y327" s="314" t="str">
        <f t="shared" ca="1" si="167"/>
        <v/>
      </c>
      <c r="Z327" s="315" t="str">
        <f t="shared" ca="1" si="168"/>
        <v/>
      </c>
      <c r="AA327" s="316" t="str">
        <f t="shared" ca="1" si="169"/>
        <v/>
      </c>
      <c r="AC327" s="310" t="e">
        <f t="shared" ca="1" si="170"/>
        <v>#N/A</v>
      </c>
      <c r="AD327" s="323" t="e">
        <f t="shared" ca="1" si="171"/>
        <v>#N/A</v>
      </c>
      <c r="AE327" s="324" t="e">
        <f t="shared" ca="1" si="150"/>
        <v>#N/A</v>
      </c>
      <c r="AG327" s="306">
        <f t="shared" ca="1" si="172"/>
        <v>6.2912711130238295</v>
      </c>
      <c r="AH327" s="304">
        <f t="shared" ca="1" si="173"/>
        <v>-0.61227563182423328</v>
      </c>
    </row>
    <row r="328" spans="1:34" x14ac:dyDescent="0.2">
      <c r="A328" s="347">
        <f t="shared" ca="1" si="151"/>
        <v>0.1</v>
      </c>
      <c r="B328" s="304">
        <f t="shared" ca="1" si="152"/>
        <v>17.599999999999941</v>
      </c>
      <c r="D328" s="306">
        <f t="shared" ca="1" si="153"/>
        <v>-0.44419241378472435</v>
      </c>
      <c r="E328" s="307">
        <f t="shared" ca="1" si="154"/>
        <v>-9.3476683521345478</v>
      </c>
      <c r="F328" s="304">
        <f t="shared" ca="1" si="155"/>
        <v>9.3582162040616321</v>
      </c>
      <c r="G328" s="306">
        <f t="shared" ca="1" si="156"/>
        <v>19.44604364372789</v>
      </c>
      <c r="H328" s="307">
        <f t="shared" ca="1" si="157"/>
        <v>-21.221150716814019</v>
      </c>
      <c r="I328" s="304">
        <f t="shared" ca="1" si="158"/>
        <v>28.783430148950387</v>
      </c>
      <c r="J328" s="306">
        <f t="shared" ca="1" si="159"/>
        <v>478.84123287845932</v>
      </c>
      <c r="K328" s="307">
        <f t="shared" ca="1" si="160"/>
        <v>1442.370724938464</v>
      </c>
      <c r="L328" s="304">
        <f t="shared" ca="1" si="145"/>
        <v>1519.7770344573814</v>
      </c>
      <c r="M328" s="306">
        <f t="shared" ca="1" si="161"/>
        <v>-0.82902008087807588</v>
      </c>
      <c r="N328" s="304">
        <f t="shared" ca="1" si="162"/>
        <v>-47.49935176590791</v>
      </c>
      <c r="P328" s="310">
        <f t="shared" ca="1" si="163"/>
        <v>23</v>
      </c>
      <c r="Q328" s="304">
        <f t="shared" ca="1" si="164"/>
        <v>0</v>
      </c>
      <c r="R328" s="306">
        <f t="shared" ca="1" si="165"/>
        <v>0</v>
      </c>
      <c r="S328" s="307">
        <f t="shared" ca="1" si="166"/>
        <v>2.6792999999999987</v>
      </c>
      <c r="T328" s="304">
        <f t="shared" ca="1" si="146"/>
        <v>26.283932999999987</v>
      </c>
      <c r="U328" s="311">
        <f t="shared" ca="1" si="147"/>
        <v>0</v>
      </c>
      <c r="V328" s="306">
        <f t="shared" ca="1" si="148"/>
        <v>1.0601950760748087</v>
      </c>
      <c r="W328" s="304">
        <f t="shared" ca="1" si="149"/>
        <v>1.7986379324613451</v>
      </c>
      <c r="Y328" s="314" t="str">
        <f t="shared" ca="1" si="167"/>
        <v/>
      </c>
      <c r="Z328" s="315" t="str">
        <f t="shared" ca="1" si="168"/>
        <v/>
      </c>
      <c r="AA328" s="316" t="str">
        <f t="shared" ca="1" si="169"/>
        <v/>
      </c>
      <c r="AC328" s="310" t="e">
        <f t="shared" ca="1" si="170"/>
        <v>#N/A</v>
      </c>
      <c r="AD328" s="323" t="e">
        <f t="shared" ca="1" si="171"/>
        <v>#N/A</v>
      </c>
      <c r="AE328" s="324" t="e">
        <f t="shared" ca="1" si="150"/>
        <v>#N/A</v>
      </c>
      <c r="AG328" s="306">
        <f t="shared" ca="1" si="172"/>
        <v>6.4329651812910766</v>
      </c>
      <c r="AH328" s="304">
        <f t="shared" ca="1" si="173"/>
        <v>-0.64113762413532183</v>
      </c>
    </row>
    <row r="329" spans="1:34" x14ac:dyDescent="0.2">
      <c r="A329" s="347">
        <f t="shared" ca="1" si="151"/>
        <v>0.1</v>
      </c>
      <c r="B329" s="304">
        <f t="shared" ca="1" si="152"/>
        <v>17.699999999999942</v>
      </c>
      <c r="D329" s="306">
        <f t="shared" ca="1" si="153"/>
        <v>-0.45353531793309132</v>
      </c>
      <c r="E329" s="307">
        <f t="shared" ca="1" si="154"/>
        <v>-9.3150642941264525</v>
      </c>
      <c r="F329" s="304">
        <f t="shared" ca="1" si="155"/>
        <v>9.326098706764915</v>
      </c>
      <c r="G329" s="306">
        <f t="shared" ca="1" si="156"/>
        <v>19.40069011193458</v>
      </c>
      <c r="H329" s="307">
        <f t="shared" ca="1" si="157"/>
        <v>-22.152657146226666</v>
      </c>
      <c r="I329" s="304">
        <f t="shared" ca="1" si="158"/>
        <v>29.447020145637548</v>
      </c>
      <c r="J329" s="306">
        <f t="shared" ca="1" si="159"/>
        <v>480.78356956624242</v>
      </c>
      <c r="K329" s="307">
        <f t="shared" ca="1" si="160"/>
        <v>1440.202034545312</v>
      </c>
      <c r="L329" s="304">
        <f t="shared" ca="1" si="145"/>
        <v>1518.3328821682398</v>
      </c>
      <c r="M329" s="306">
        <f t="shared" ca="1" si="161"/>
        <v>-0.851528916783445</v>
      </c>
      <c r="N329" s="304">
        <f t="shared" ca="1" si="162"/>
        <v>-48.789013065038091</v>
      </c>
      <c r="P329" s="310">
        <f t="shared" ca="1" si="163"/>
        <v>23</v>
      </c>
      <c r="Q329" s="304">
        <f t="shared" ca="1" si="164"/>
        <v>0</v>
      </c>
      <c r="R329" s="306">
        <f t="shared" ca="1" si="165"/>
        <v>0</v>
      </c>
      <c r="S329" s="307">
        <f t="shared" ca="1" si="166"/>
        <v>2.6792999999999987</v>
      </c>
      <c r="T329" s="304">
        <f t="shared" ca="1" si="146"/>
        <v>26.283932999999987</v>
      </c>
      <c r="U329" s="311">
        <f t="shared" ca="1" si="147"/>
        <v>0</v>
      </c>
      <c r="V329" s="306">
        <f t="shared" ca="1" si="148"/>
        <v>1.0604262250443928</v>
      </c>
      <c r="W329" s="304">
        <f t="shared" ca="1" si="149"/>
        <v>1.8829380685284598</v>
      </c>
      <c r="Y329" s="314" t="str">
        <f t="shared" ca="1" si="167"/>
        <v/>
      </c>
      <c r="Z329" s="315" t="str">
        <f t="shared" ca="1" si="168"/>
        <v/>
      </c>
      <c r="AA329" s="316" t="str">
        <f t="shared" ca="1" si="169"/>
        <v/>
      </c>
      <c r="AC329" s="310" t="e">
        <f t="shared" ca="1" si="170"/>
        <v>#N/A</v>
      </c>
      <c r="AD329" s="323" t="e">
        <f t="shared" ca="1" si="171"/>
        <v>#N/A</v>
      </c>
      <c r="AE329" s="324" t="e">
        <f t="shared" ca="1" si="150"/>
        <v>#N/A</v>
      </c>
      <c r="AG329" s="306">
        <f t="shared" ca="1" si="172"/>
        <v>6.5613067920905239</v>
      </c>
      <c r="AH329" s="304">
        <f t="shared" ca="1" si="173"/>
        <v>-0.67130889876510502</v>
      </c>
    </row>
    <row r="330" spans="1:34" x14ac:dyDescent="0.2">
      <c r="A330" s="347">
        <f t="shared" ca="1" si="151"/>
        <v>0.1</v>
      </c>
      <c r="B330" s="304">
        <f t="shared" ca="1" si="152"/>
        <v>17.799999999999944</v>
      </c>
      <c r="D330" s="306">
        <f t="shared" ca="1" si="153"/>
        <v>-0.46301015583771687</v>
      </c>
      <c r="E330" s="307">
        <f t="shared" ca="1" si="154"/>
        <v>-9.2813123513485607</v>
      </c>
      <c r="F330" s="304">
        <f t="shared" ca="1" si="155"/>
        <v>9.2928541023575857</v>
      </c>
      <c r="G330" s="306">
        <f t="shared" ca="1" si="156"/>
        <v>19.354389096350808</v>
      </c>
      <c r="H330" s="307">
        <f t="shared" ca="1" si="157"/>
        <v>-23.080788381361522</v>
      </c>
      <c r="I330" s="304">
        <f t="shared" ca="1" si="158"/>
        <v>30.121672755644497</v>
      </c>
      <c r="J330" s="306">
        <f t="shared" ca="1" si="159"/>
        <v>482.7213235266567</v>
      </c>
      <c r="K330" s="307">
        <f t="shared" ca="1" si="160"/>
        <v>1437.9403622689326</v>
      </c>
      <c r="L330" s="304">
        <f t="shared" ca="1" si="145"/>
        <v>1516.8033365039241</v>
      </c>
      <c r="M330" s="306">
        <f t="shared" ca="1" si="161"/>
        <v>-0.87298740276862252</v>
      </c>
      <c r="N330" s="304">
        <f t="shared" ca="1" si="162"/>
        <v>-50.018493746729391</v>
      </c>
      <c r="P330" s="310">
        <f t="shared" ca="1" si="163"/>
        <v>23</v>
      </c>
      <c r="Q330" s="304">
        <f t="shared" ca="1" si="164"/>
        <v>0</v>
      </c>
      <c r="R330" s="306">
        <f t="shared" ca="1" si="165"/>
        <v>0</v>
      </c>
      <c r="S330" s="307">
        <f t="shared" ca="1" si="166"/>
        <v>2.6792999999999987</v>
      </c>
      <c r="T330" s="304">
        <f t="shared" ca="1" si="146"/>
        <v>26.283932999999987</v>
      </c>
      <c r="U330" s="311">
        <f t="shared" ca="1" si="147"/>
        <v>0</v>
      </c>
      <c r="V330" s="306">
        <f t="shared" ca="1" si="148"/>
        <v>1.0606673342668997</v>
      </c>
      <c r="W330" s="304">
        <f t="shared" ca="1" si="149"/>
        <v>1.9706533474150036</v>
      </c>
      <c r="Y330" s="314" t="str">
        <f t="shared" ca="1" si="167"/>
        <v/>
      </c>
      <c r="Z330" s="315" t="str">
        <f t="shared" ca="1" si="168"/>
        <v/>
      </c>
      <c r="AA330" s="316" t="str">
        <f t="shared" ca="1" si="169"/>
        <v/>
      </c>
      <c r="AC330" s="310" t="e">
        <f t="shared" ca="1" si="170"/>
        <v>#N/A</v>
      </c>
      <c r="AD330" s="323" t="e">
        <f t="shared" ca="1" si="171"/>
        <v>#N/A</v>
      </c>
      <c r="AE330" s="324" t="e">
        <f t="shared" ca="1" si="150"/>
        <v>#N/A</v>
      </c>
      <c r="AG330" s="306">
        <f t="shared" ca="1" si="172"/>
        <v>6.6771786368172226</v>
      </c>
      <c r="AH330" s="304">
        <f t="shared" ca="1" si="173"/>
        <v>-0.70277239149347248</v>
      </c>
    </row>
    <row r="331" spans="1:34" x14ac:dyDescent="0.2">
      <c r="A331" s="347">
        <f t="shared" ca="1" si="151"/>
        <v>0.1</v>
      </c>
      <c r="B331" s="304">
        <f t="shared" ca="1" si="152"/>
        <v>17.899999999999945</v>
      </c>
      <c r="D331" s="306">
        <f t="shared" ca="1" si="153"/>
        <v>-0.47259516378037902</v>
      </c>
      <c r="E331" s="307">
        <f t="shared" ca="1" si="154"/>
        <v>-9.2464136780051387</v>
      </c>
      <c r="F331" s="304">
        <f t="shared" ca="1" si="155"/>
        <v>9.2584832501673358</v>
      </c>
      <c r="G331" s="306">
        <f t="shared" ca="1" si="156"/>
        <v>19.30712957997277</v>
      </c>
      <c r="H331" s="307">
        <f t="shared" ca="1" si="157"/>
        <v>-24.005429749162037</v>
      </c>
      <c r="I331" s="304">
        <f t="shared" ca="1" si="158"/>
        <v>30.806264136694882</v>
      </c>
      <c r="J331" s="306">
        <f t="shared" ca="1" si="159"/>
        <v>484.65439946047286</v>
      </c>
      <c r="K331" s="307">
        <f t="shared" ca="1" si="160"/>
        <v>1435.5860513624064</v>
      </c>
      <c r="L331" s="304">
        <f t="shared" ca="1" si="145"/>
        <v>1515.1888323844976</v>
      </c>
      <c r="M331" s="306">
        <f t="shared" ca="1" si="161"/>
        <v>-0.89344999559569871</v>
      </c>
      <c r="N331" s="304">
        <f t="shared" ca="1" si="162"/>
        <v>-51.190913953615528</v>
      </c>
      <c r="P331" s="310">
        <f t="shared" ca="1" si="163"/>
        <v>23</v>
      </c>
      <c r="Q331" s="304">
        <f t="shared" ca="1" si="164"/>
        <v>0</v>
      </c>
      <c r="R331" s="306">
        <f t="shared" ca="1" si="165"/>
        <v>0</v>
      </c>
      <c r="S331" s="307">
        <f t="shared" ca="1" si="166"/>
        <v>2.6792999999999987</v>
      </c>
      <c r="T331" s="304">
        <f t="shared" ca="1" si="146"/>
        <v>26.283932999999987</v>
      </c>
      <c r="U331" s="311">
        <f t="shared" ca="1" si="147"/>
        <v>0</v>
      </c>
      <c r="V331" s="306">
        <f t="shared" ca="1" si="148"/>
        <v>1.0609183734277072</v>
      </c>
      <c r="W331" s="304">
        <f t="shared" ca="1" si="149"/>
        <v>2.0617353143101935</v>
      </c>
      <c r="Y331" s="314" t="str">
        <f t="shared" ca="1" si="167"/>
        <v/>
      </c>
      <c r="Z331" s="315" t="str">
        <f t="shared" ca="1" si="168"/>
        <v/>
      </c>
      <c r="AA331" s="316" t="str">
        <f t="shared" ca="1" si="169"/>
        <v/>
      </c>
      <c r="AC331" s="310" t="e">
        <f t="shared" ca="1" si="170"/>
        <v>#N/A</v>
      </c>
      <c r="AD331" s="323" t="e">
        <f t="shared" ca="1" si="171"/>
        <v>#N/A</v>
      </c>
      <c r="AE331" s="324" t="e">
        <f t="shared" ca="1" si="150"/>
        <v>#N/A</v>
      </c>
      <c r="AG331" s="306">
        <f t="shared" ca="1" si="172"/>
        <v>6.7814204198014343</v>
      </c>
      <c r="AH331" s="304">
        <f t="shared" ca="1" si="173"/>
        <v>-0.73551052417236018</v>
      </c>
    </row>
    <row r="332" spans="1:34" x14ac:dyDescent="0.2">
      <c r="A332" s="347">
        <f t="shared" ca="1" si="151"/>
        <v>0.1</v>
      </c>
      <c r="B332" s="304">
        <f t="shared" ca="1" si="152"/>
        <v>17.999999999999947</v>
      </c>
      <c r="D332" s="306">
        <f t="shared" ca="1" si="153"/>
        <v>-0.48226999460802011</v>
      </c>
      <c r="E332" s="307">
        <f t="shared" ca="1" si="154"/>
        <v>-9.2103718456574484</v>
      </c>
      <c r="F332" s="304">
        <f t="shared" ca="1" si="155"/>
        <v>9.2229894222523434</v>
      </c>
      <c r="G332" s="306">
        <f t="shared" ca="1" si="156"/>
        <v>19.258902580511968</v>
      </c>
      <c r="H332" s="307">
        <f t="shared" ca="1" si="157"/>
        <v>-24.926466933727781</v>
      </c>
      <c r="I332" s="304">
        <f t="shared" ca="1" si="158"/>
        <v>31.499747338730749</v>
      </c>
      <c r="J332" s="306">
        <f t="shared" ca="1" si="159"/>
        <v>486.5827010684971</v>
      </c>
      <c r="K332" s="307">
        <f t="shared" ca="1" si="160"/>
        <v>1433.1394565282619</v>
      </c>
      <c r="L332" s="304">
        <f t="shared" ca="1" si="145"/>
        <v>1513.4898172228434</v>
      </c>
      <c r="M332" s="306">
        <f t="shared" ca="1" si="161"/>
        <v>-0.91296947328402056</v>
      </c>
      <c r="N332" s="304">
        <f t="shared" ca="1" si="162"/>
        <v>-52.309297643456148</v>
      </c>
      <c r="P332" s="310">
        <f t="shared" ca="1" si="163"/>
        <v>23</v>
      </c>
      <c r="Q332" s="304">
        <f t="shared" ca="1" si="164"/>
        <v>0</v>
      </c>
      <c r="R332" s="306">
        <f t="shared" ca="1" si="165"/>
        <v>0</v>
      </c>
      <c r="S332" s="307">
        <f t="shared" ca="1" si="166"/>
        <v>2.6792999999999987</v>
      </c>
      <c r="T332" s="304">
        <f t="shared" ca="1" si="146"/>
        <v>26.283932999999987</v>
      </c>
      <c r="U332" s="311">
        <f t="shared" ca="1" si="147"/>
        <v>0</v>
      </c>
      <c r="V332" s="306">
        <f t="shared" ca="1" si="148"/>
        <v>1.0611793112196275</v>
      </c>
      <c r="W332" s="304">
        <f t="shared" ca="1" si="149"/>
        <v>2.1561341807179368</v>
      </c>
      <c r="Y332" s="314" t="str">
        <f t="shared" ca="1" si="167"/>
        <v/>
      </c>
      <c r="Z332" s="315" t="str">
        <f t="shared" ca="1" si="168"/>
        <v/>
      </c>
      <c r="AA332" s="316" t="str">
        <f t="shared" ca="1" si="169"/>
        <v/>
      </c>
      <c r="AC332" s="310">
        <f t="shared" ca="1" si="170"/>
        <v>17.999999999999947</v>
      </c>
      <c r="AD332" s="323">
        <f t="shared" ca="1" si="171"/>
        <v>486.5827010684971</v>
      </c>
      <c r="AE332" s="324" t="e">
        <f t="shared" ca="1" si="150"/>
        <v>#N/A</v>
      </c>
      <c r="AG332" s="306">
        <f t="shared" ca="1" si="172"/>
        <v>6.8748253305368818</v>
      </c>
      <c r="AH332" s="304">
        <f t="shared" ca="1" si="173"/>
        <v>-0.76950521192482912</v>
      </c>
    </row>
    <row r="333" spans="1:34" x14ac:dyDescent="0.2">
      <c r="A333" s="347">
        <f t="shared" ca="1" si="151"/>
        <v>0.1</v>
      </c>
      <c r="B333" s="304">
        <f t="shared" ca="1" si="152"/>
        <v>18.099999999999948</v>
      </c>
      <c r="D333" s="306">
        <f t="shared" ca="1" si="153"/>
        <v>-0.49201563793399689</v>
      </c>
      <c r="E333" s="307">
        <f t="shared" ca="1" si="154"/>
        <v>-9.1731926077527977</v>
      </c>
      <c r="F333" s="304">
        <f t="shared" ca="1" si="155"/>
        <v>9.1863780679276523</v>
      </c>
      <c r="G333" s="306">
        <f t="shared" ca="1" si="156"/>
        <v>19.209701016718569</v>
      </c>
      <c r="H333" s="307">
        <f t="shared" ca="1" si="157"/>
        <v>-25.84378619450306</v>
      </c>
      <c r="I333" s="304">
        <f t="shared" ca="1" si="158"/>
        <v>32.201147464320357</v>
      </c>
      <c r="J333" s="306">
        <f t="shared" ca="1" si="159"/>
        <v>488.50613124835866</v>
      </c>
      <c r="K333" s="307">
        <f t="shared" ca="1" si="160"/>
        <v>1430.6009438718504</v>
      </c>
      <c r="L333" s="304">
        <f t="shared" ca="1" si="145"/>
        <v>1511.7067509521376</v>
      </c>
      <c r="M333" s="306">
        <f t="shared" ca="1" si="161"/>
        <v>-0.93159665883107057</v>
      </c>
      <c r="N333" s="304">
        <f t="shared" ca="1" si="162"/>
        <v>-53.376556759509192</v>
      </c>
      <c r="P333" s="310">
        <f t="shared" ca="1" si="163"/>
        <v>23</v>
      </c>
      <c r="Q333" s="304">
        <f t="shared" ca="1" si="164"/>
        <v>0</v>
      </c>
      <c r="R333" s="306">
        <f t="shared" ca="1" si="165"/>
        <v>0</v>
      </c>
      <c r="S333" s="307">
        <f t="shared" ca="1" si="166"/>
        <v>2.6792999999999987</v>
      </c>
      <c r="T333" s="304">
        <f t="shared" ca="1" si="146"/>
        <v>26.283932999999987</v>
      </c>
      <c r="U333" s="311">
        <f t="shared" ca="1" si="147"/>
        <v>0</v>
      </c>
      <c r="V333" s="306">
        <f t="shared" ca="1" si="148"/>
        <v>1.0614501153436722</v>
      </c>
      <c r="W333" s="304">
        <f t="shared" ca="1" si="149"/>
        <v>2.2537988526789299</v>
      </c>
      <c r="Y333" s="314" t="str">
        <f t="shared" ca="1" si="167"/>
        <v/>
      </c>
      <c r="Z333" s="315" t="str">
        <f t="shared" ca="1" si="168"/>
        <v/>
      </c>
      <c r="AA333" s="316" t="str">
        <f t="shared" ca="1" si="169"/>
        <v/>
      </c>
      <c r="AC333" s="310" t="e">
        <f t="shared" ca="1" si="170"/>
        <v>#N/A</v>
      </c>
      <c r="AD333" s="323" t="e">
        <f t="shared" ca="1" si="171"/>
        <v>#N/A</v>
      </c>
      <c r="AE333" s="324" t="e">
        <f t="shared" ca="1" si="150"/>
        <v>#N/A</v>
      </c>
      <c r="AG333" s="306">
        <f t="shared" ca="1" si="172"/>
        <v>6.9581383818057798</v>
      </c>
      <c r="AH333" s="304">
        <f t="shared" ca="1" si="173"/>
        <v>-0.80473787210015224</v>
      </c>
    </row>
    <row r="334" spans="1:34" x14ac:dyDescent="0.2">
      <c r="A334" s="347">
        <f t="shared" ca="1" si="151"/>
        <v>0.1</v>
      </c>
      <c r="B334" s="304">
        <f t="shared" ca="1" si="152"/>
        <v>18.19999999999995</v>
      </c>
      <c r="D334" s="306">
        <f t="shared" ca="1" si="153"/>
        <v>-0.50181433934841435</v>
      </c>
      <c r="E334" s="307">
        <f t="shared" ca="1" si="154"/>
        <v>-9.1348836884983662</v>
      </c>
      <c r="F334" s="304">
        <f t="shared" ca="1" si="155"/>
        <v>9.1486566026695524</v>
      </c>
      <c r="G334" s="306">
        <f t="shared" ca="1" si="156"/>
        <v>19.159519582783727</v>
      </c>
      <c r="H334" s="307">
        <f t="shared" ca="1" si="157"/>
        <v>-26.757274563352897</v>
      </c>
      <c r="I334" s="304">
        <f t="shared" ca="1" si="158"/>
        <v>32.909556859698448</v>
      </c>
      <c r="J334" s="306">
        <f t="shared" ca="1" si="159"/>
        <v>490.42459227833376</v>
      </c>
      <c r="K334" s="307">
        <f t="shared" ca="1" si="160"/>
        <v>1427.9708908339576</v>
      </c>
      <c r="L334" s="304">
        <f t="shared" ca="1" si="145"/>
        <v>1509.8401060312633</v>
      </c>
      <c r="M334" s="306">
        <f t="shared" ca="1" si="161"/>
        <v>-0.94938023593875509</v>
      </c>
      <c r="N334" s="304">
        <f t="shared" ca="1" si="162"/>
        <v>-54.395480672424988</v>
      </c>
      <c r="P334" s="310">
        <f t="shared" ca="1" si="163"/>
        <v>23</v>
      </c>
      <c r="Q334" s="304">
        <f t="shared" ca="1" si="164"/>
        <v>0</v>
      </c>
      <c r="R334" s="306">
        <f t="shared" ca="1" si="165"/>
        <v>0</v>
      </c>
      <c r="S334" s="307">
        <f t="shared" ca="1" si="166"/>
        <v>2.6792999999999987</v>
      </c>
      <c r="T334" s="304">
        <f t="shared" ca="1" si="146"/>
        <v>26.283932999999987</v>
      </c>
      <c r="U334" s="311">
        <f t="shared" ca="1" si="147"/>
        <v>0</v>
      </c>
      <c r="V334" s="306">
        <f t="shared" ca="1" si="148"/>
        <v>1.0617307525119084</v>
      </c>
      <c r="W334" s="304">
        <f t="shared" ca="1" si="149"/>
        <v>2.3546769627878428</v>
      </c>
      <c r="Y334" s="314" t="str">
        <f t="shared" ca="1" si="167"/>
        <v/>
      </c>
      <c r="Z334" s="315" t="str">
        <f t="shared" ca="1" si="168"/>
        <v/>
      </c>
      <c r="AA334" s="316" t="str">
        <f t="shared" ca="1" si="169"/>
        <v/>
      </c>
      <c r="AC334" s="310" t="e">
        <f t="shared" ca="1" si="170"/>
        <v>#N/A</v>
      </c>
      <c r="AD334" s="323" t="e">
        <f t="shared" ca="1" si="171"/>
        <v>#N/A</v>
      </c>
      <c r="AE334" s="324" t="e">
        <f t="shared" ca="1" si="150"/>
        <v>#N/A</v>
      </c>
      <c r="AG334" s="306">
        <f t="shared" ca="1" si="172"/>
        <v>7.0320561645612578</v>
      </c>
      <c r="AH334" s="304">
        <f t="shared" ca="1" si="173"/>
        <v>-0.84118943480719999</v>
      </c>
    </row>
    <row r="335" spans="1:34" x14ac:dyDescent="0.2">
      <c r="A335" s="347">
        <f t="shared" ca="1" si="151"/>
        <v>0.1</v>
      </c>
      <c r="B335" s="304">
        <f t="shared" ca="1" si="152"/>
        <v>18.299999999999951</v>
      </c>
      <c r="D335" s="306">
        <f t="shared" ca="1" si="153"/>
        <v>-0.5116495205616971</v>
      </c>
      <c r="E335" s="307">
        <f t="shared" ca="1" si="154"/>
        <v>-9.0954545938521854</v>
      </c>
      <c r="F335" s="304">
        <f t="shared" ca="1" si="155"/>
        <v>9.1098342191676487</v>
      </c>
      <c r="G335" s="306">
        <f t="shared" ca="1" si="156"/>
        <v>19.108354630727558</v>
      </c>
      <c r="H335" s="307">
        <f t="shared" ca="1" si="157"/>
        <v>-27.666820022738115</v>
      </c>
      <c r="I335" s="304">
        <f t="shared" ca="1" si="158"/>
        <v>33.62413042539881</v>
      </c>
      <c r="J335" s="306">
        <f t="shared" ca="1" si="159"/>
        <v>492.33798598900933</v>
      </c>
      <c r="K335" s="307">
        <f t="shared" ca="1" si="160"/>
        <v>1425.2496861046529</v>
      </c>
      <c r="L335" s="304">
        <f t="shared" ca="1" si="145"/>
        <v>1507.8903674303135</v>
      </c>
      <c r="M335" s="306">
        <f t="shared" ca="1" si="161"/>
        <v>-0.96636663848278082</v>
      </c>
      <c r="N335" s="304">
        <f t="shared" ca="1" si="162"/>
        <v>-55.368729847307947</v>
      </c>
      <c r="P335" s="310">
        <f t="shared" ca="1" si="163"/>
        <v>23</v>
      </c>
      <c r="Q335" s="304">
        <f t="shared" ca="1" si="164"/>
        <v>0</v>
      </c>
      <c r="R335" s="306">
        <f t="shared" ca="1" si="165"/>
        <v>0</v>
      </c>
      <c r="S335" s="307">
        <f t="shared" ca="1" si="166"/>
        <v>2.6792999999999987</v>
      </c>
      <c r="T335" s="304">
        <f t="shared" ca="1" si="146"/>
        <v>26.283932999999987</v>
      </c>
      <c r="U335" s="311">
        <f t="shared" ca="1" si="147"/>
        <v>0</v>
      </c>
      <c r="V335" s="306">
        <f t="shared" ca="1" si="148"/>
        <v>1.0620211884521913</v>
      </c>
      <c r="W335" s="304">
        <f t="shared" ca="1" si="149"/>
        <v>2.4587149056107922</v>
      </c>
      <c r="Y335" s="314" t="str">
        <f t="shared" ca="1" si="167"/>
        <v/>
      </c>
      <c r="Z335" s="315" t="str">
        <f t="shared" ca="1" si="168"/>
        <v/>
      </c>
      <c r="AA335" s="316" t="str">
        <f t="shared" ca="1" si="169"/>
        <v/>
      </c>
      <c r="AC335" s="310" t="e">
        <f t="shared" ca="1" si="170"/>
        <v>#N/A</v>
      </c>
      <c r="AD335" s="323" t="e">
        <f t="shared" ca="1" si="171"/>
        <v>#N/A</v>
      </c>
      <c r="AE335" s="324" t="e">
        <f t="shared" ca="1" si="150"/>
        <v>#N/A</v>
      </c>
      <c r="AG335" s="306">
        <f t="shared" ca="1" si="172"/>
        <v>7.097227648285898</v>
      </c>
      <c r="AH335" s="304">
        <f t="shared" ca="1" si="173"/>
        <v>-0.87884035486427203</v>
      </c>
    </row>
    <row r="336" spans="1:34" x14ac:dyDescent="0.2">
      <c r="A336" s="347">
        <f t="shared" ca="1" si="151"/>
        <v>0.1</v>
      </c>
      <c r="B336" s="304">
        <f t="shared" ca="1" si="152"/>
        <v>18.399999999999952</v>
      </c>
      <c r="D336" s="306">
        <f t="shared" ca="1" si="153"/>
        <v>-0.52150570186345102</v>
      </c>
      <c r="E336" s="307">
        <f t="shared" ca="1" si="154"/>
        <v>-9.0549164424086026</v>
      </c>
      <c r="F336" s="304">
        <f t="shared" ca="1" si="155"/>
        <v>9.0699217182993248</v>
      </c>
      <c r="G336" s="306">
        <f t="shared" ca="1" si="156"/>
        <v>19.056204060541212</v>
      </c>
      <c r="H336" s="307">
        <f t="shared" ca="1" si="157"/>
        <v>-28.572311666978976</v>
      </c>
      <c r="I336" s="304">
        <f t="shared" ca="1" si="158"/>
        <v>34.344081108569064</v>
      </c>
      <c r="J336" s="306">
        <f t="shared" ca="1" si="159"/>
        <v>494.24621392357278</v>
      </c>
      <c r="K336" s="307">
        <f t="shared" ca="1" si="160"/>
        <v>1422.4377295201671</v>
      </c>
      <c r="L336" s="304">
        <f t="shared" ca="1" si="145"/>
        <v>1505.8580325981177</v>
      </c>
      <c r="M336" s="306">
        <f t="shared" ca="1" si="161"/>
        <v>-0.98259999818377974</v>
      </c>
      <c r="N336" s="304">
        <f t="shared" ca="1" si="162"/>
        <v>-56.298832845492932</v>
      </c>
      <c r="P336" s="310">
        <f t="shared" ca="1" si="163"/>
        <v>23</v>
      </c>
      <c r="Q336" s="304">
        <f t="shared" ca="1" si="164"/>
        <v>0</v>
      </c>
      <c r="R336" s="306">
        <f t="shared" ca="1" si="165"/>
        <v>0</v>
      </c>
      <c r="S336" s="307">
        <f t="shared" ca="1" si="166"/>
        <v>2.6792999999999987</v>
      </c>
      <c r="T336" s="304">
        <f t="shared" ca="1" si="146"/>
        <v>26.283932999999987</v>
      </c>
      <c r="U336" s="311">
        <f t="shared" ca="1" si="147"/>
        <v>0</v>
      </c>
      <c r="V336" s="306">
        <f t="shared" ca="1" si="148"/>
        <v>1.0623213879145927</v>
      </c>
      <c r="W336" s="304">
        <f t="shared" ca="1" si="149"/>
        <v>2.5658578761434758</v>
      </c>
      <c r="Y336" s="314" t="str">
        <f t="shared" ca="1" si="167"/>
        <v/>
      </c>
      <c r="Z336" s="315" t="str">
        <f t="shared" ca="1" si="168"/>
        <v/>
      </c>
      <c r="AA336" s="316" t="str">
        <f t="shared" ca="1" si="169"/>
        <v/>
      </c>
      <c r="AC336" s="310" t="e">
        <f t="shared" ca="1" si="170"/>
        <v>#N/A</v>
      </c>
      <c r="AD336" s="323" t="e">
        <f t="shared" ca="1" si="171"/>
        <v>#N/A</v>
      </c>
      <c r="AE336" s="324" t="e">
        <f t="shared" ca="1" si="150"/>
        <v>#N/A</v>
      </c>
      <c r="AG336" s="306">
        <f t="shared" ca="1" si="172"/>
        <v>7.1542557263633508</v>
      </c>
      <c r="AH336" s="304">
        <f t="shared" ca="1" si="173"/>
        <v>-0.91767062501802465</v>
      </c>
    </row>
    <row r="337" spans="1:34" x14ac:dyDescent="0.2">
      <c r="A337" s="347">
        <f t="shared" ca="1" si="151"/>
        <v>0.1</v>
      </c>
      <c r="B337" s="304">
        <f t="shared" ca="1" si="152"/>
        <v>18.499999999999954</v>
      </c>
      <c r="D337" s="306">
        <f t="shared" ca="1" si="153"/>
        <v>-0.53136842784611771</v>
      </c>
      <c r="E337" s="307">
        <f t="shared" ca="1" si="154"/>
        <v>-9.0132818140392708</v>
      </c>
      <c r="F337" s="304">
        <f t="shared" ca="1" si="155"/>
        <v>9.0289313578852006</v>
      </c>
      <c r="G337" s="306">
        <f t="shared" ca="1" si="156"/>
        <v>19.003067217756602</v>
      </c>
      <c r="H337" s="307">
        <f t="shared" ca="1" si="157"/>
        <v>-29.473639848382902</v>
      </c>
      <c r="I337" s="304">
        <f t="shared" ca="1" si="158"/>
        <v>35.068675617918053</v>
      </c>
      <c r="J337" s="306">
        <f t="shared" ca="1" si="159"/>
        <v>496.14917748748769</v>
      </c>
      <c r="K337" s="307">
        <f t="shared" ca="1" si="160"/>
        <v>1419.5354319443991</v>
      </c>
      <c r="L337" s="304">
        <f t="shared" ca="1" si="145"/>
        <v>1503.7436114135555</v>
      </c>
      <c r="M337" s="306">
        <f t="shared" ca="1" si="161"/>
        <v>-0.99812213745652256</v>
      </c>
      <c r="N337" s="304">
        <f t="shared" ca="1" si="162"/>
        <v>-57.188185914835366</v>
      </c>
      <c r="P337" s="310">
        <f t="shared" ca="1" si="163"/>
        <v>23</v>
      </c>
      <c r="Q337" s="304">
        <f t="shared" ca="1" si="164"/>
        <v>0</v>
      </c>
      <c r="R337" s="306">
        <f t="shared" ca="1" si="165"/>
        <v>0</v>
      </c>
      <c r="S337" s="307">
        <f t="shared" ca="1" si="166"/>
        <v>2.6792999999999987</v>
      </c>
      <c r="T337" s="304">
        <f t="shared" ca="1" si="146"/>
        <v>26.283932999999987</v>
      </c>
      <c r="U337" s="311">
        <f t="shared" ca="1" si="147"/>
        <v>0</v>
      </c>
      <c r="V337" s="306">
        <f t="shared" ca="1" si="148"/>
        <v>1.0626313146793556</v>
      </c>
      <c r="W337" s="304">
        <f t="shared" ca="1" si="149"/>
        <v>2.6760499109818912</v>
      </c>
      <c r="Y337" s="314" t="str">
        <f t="shared" ca="1" si="167"/>
        <v/>
      </c>
      <c r="Z337" s="315" t="str">
        <f t="shared" ca="1" si="168"/>
        <v/>
      </c>
      <c r="AA337" s="316" t="str">
        <f t="shared" ca="1" si="169"/>
        <v/>
      </c>
      <c r="AC337" s="310" t="e">
        <f t="shared" ca="1" si="170"/>
        <v>#N/A</v>
      </c>
      <c r="AD337" s="323" t="e">
        <f t="shared" ca="1" si="171"/>
        <v>#N/A</v>
      </c>
      <c r="AE337" s="324" t="e">
        <f t="shared" ca="1" si="150"/>
        <v>#N/A</v>
      </c>
      <c r="AG337" s="306">
        <f t="shared" ca="1" si="172"/>
        <v>7.2036992679635308</v>
      </c>
      <c r="AH337" s="304">
        <f t="shared" ca="1" si="173"/>
        <v>-0.95765979029727055</v>
      </c>
    </row>
    <row r="338" spans="1:34" x14ac:dyDescent="0.2">
      <c r="A338" s="347">
        <f t="shared" ca="1" si="151"/>
        <v>0.1</v>
      </c>
      <c r="B338" s="304">
        <f t="shared" ca="1" si="152"/>
        <v>18.599999999999955</v>
      </c>
      <c r="D338" s="306">
        <f t="shared" ca="1" si="153"/>
        <v>-0.54122419700435631</v>
      </c>
      <c r="E338" s="307">
        <f t="shared" ca="1" si="154"/>
        <v>-8.9705646142833668</v>
      </c>
      <c r="F338" s="304">
        <f t="shared" ca="1" si="155"/>
        <v>8.9868767172169388</v>
      </c>
      <c r="G338" s="306">
        <f t="shared" ca="1" si="156"/>
        <v>18.948944798056168</v>
      </c>
      <c r="H338" s="307">
        <f t="shared" ca="1" si="157"/>
        <v>-30.37069630981124</v>
      </c>
      <c r="I338" s="304">
        <f t="shared" ca="1" si="158"/>
        <v>35.797230385918994</v>
      </c>
      <c r="J338" s="306">
        <f t="shared" ca="1" si="159"/>
        <v>498.0467780882783</v>
      </c>
      <c r="K338" s="307">
        <f t="shared" ca="1" si="160"/>
        <v>1416.5432151364894</v>
      </c>
      <c r="L338" s="304">
        <f t="shared" ca="1" si="145"/>
        <v>1501.5476261222409</v>
      </c>
      <c r="M338" s="306">
        <f t="shared" ca="1" si="161"/>
        <v>-1.0129725966685408</v>
      </c>
      <c r="N338" s="304">
        <f t="shared" ca="1" si="162"/>
        <v>-58.039054551515179</v>
      </c>
      <c r="P338" s="310">
        <f t="shared" ca="1" si="163"/>
        <v>23</v>
      </c>
      <c r="Q338" s="304">
        <f t="shared" ca="1" si="164"/>
        <v>0</v>
      </c>
      <c r="R338" s="306">
        <f t="shared" ca="1" si="165"/>
        <v>0</v>
      </c>
      <c r="S338" s="307">
        <f t="shared" ca="1" si="166"/>
        <v>2.6792999999999987</v>
      </c>
      <c r="T338" s="304">
        <f t="shared" ca="1" si="146"/>
        <v>26.283932999999987</v>
      </c>
      <c r="U338" s="311">
        <f t="shared" ca="1" si="147"/>
        <v>0</v>
      </c>
      <c r="V338" s="306">
        <f t="shared" ca="1" si="148"/>
        <v>1.0629509315662324</v>
      </c>
      <c r="W338" s="304">
        <f t="shared" ca="1" si="149"/>
        <v>2.7892339319057973</v>
      </c>
      <c r="Y338" s="314" t="str">
        <f t="shared" ca="1" si="167"/>
        <v/>
      </c>
      <c r="Z338" s="315" t="str">
        <f t="shared" ca="1" si="168"/>
        <v/>
      </c>
      <c r="AA338" s="316" t="str">
        <f t="shared" ca="1" si="169"/>
        <v/>
      </c>
      <c r="AC338" s="310" t="e">
        <f t="shared" ca="1" si="170"/>
        <v>#N/A</v>
      </c>
      <c r="AD338" s="323" t="e">
        <f t="shared" ca="1" si="171"/>
        <v>#N/A</v>
      </c>
      <c r="AE338" s="324" t="e">
        <f t="shared" ca="1" si="150"/>
        <v>#N/A</v>
      </c>
      <c r="AG338" s="306">
        <f t="shared" ca="1" si="172"/>
        <v>7.2460754905911005</v>
      </c>
      <c r="AH338" s="304">
        <f t="shared" ca="1" si="173"/>
        <v>-0.9987869633792007</v>
      </c>
    </row>
    <row r="339" spans="1:34" x14ac:dyDescent="0.2">
      <c r="A339" s="347">
        <f t="shared" ca="1" si="151"/>
        <v>0.1</v>
      </c>
      <c r="B339" s="304">
        <f t="shared" ca="1" si="152"/>
        <v>18.699999999999957</v>
      </c>
      <c r="D339" s="306">
        <f t="shared" ca="1" si="153"/>
        <v>-0.55106039556110664</v>
      </c>
      <c r="E339" s="307">
        <f t="shared" ca="1" si="154"/>
        <v>-8.9267799526405476</v>
      </c>
      <c r="F339" s="304">
        <f t="shared" ca="1" si="155"/>
        <v>8.9437725755086781</v>
      </c>
      <c r="G339" s="306">
        <f t="shared" ca="1" si="156"/>
        <v>18.893838758500056</v>
      </c>
      <c r="H339" s="307">
        <f t="shared" ca="1" si="157"/>
        <v>-31.263374305075295</v>
      </c>
      <c r="I339" s="304">
        <f t="shared" ca="1" si="158"/>
        <v>36.529107790520165</v>
      </c>
      <c r="J339" s="306">
        <f t="shared" ca="1" si="159"/>
        <v>499.9389172661061</v>
      </c>
      <c r="K339" s="307">
        <f t="shared" ca="1" si="160"/>
        <v>1413.461511605745</v>
      </c>
      <c r="L339" s="304">
        <f t="shared" ca="1" si="145"/>
        <v>1499.2706112600235</v>
      </c>
      <c r="M339" s="306">
        <f t="shared" ca="1" si="161"/>
        <v>-1.0271886870104929</v>
      </c>
      <c r="N339" s="304">
        <f t="shared" ca="1" si="162"/>
        <v>-58.853576529285732</v>
      </c>
      <c r="P339" s="310">
        <f t="shared" ca="1" si="163"/>
        <v>23</v>
      </c>
      <c r="Q339" s="304">
        <f t="shared" ca="1" si="164"/>
        <v>0</v>
      </c>
      <c r="R339" s="306">
        <f t="shared" ca="1" si="165"/>
        <v>0</v>
      </c>
      <c r="S339" s="307">
        <f t="shared" ca="1" si="166"/>
        <v>2.6792999999999987</v>
      </c>
      <c r="T339" s="304">
        <f t="shared" ca="1" si="146"/>
        <v>26.283932999999987</v>
      </c>
      <c r="U339" s="311">
        <f t="shared" ca="1" si="147"/>
        <v>0</v>
      </c>
      <c r="V339" s="306">
        <f t="shared" ca="1" si="148"/>
        <v>1.0632802004450705</v>
      </c>
      <c r="W339" s="304">
        <f t="shared" ca="1" si="149"/>
        <v>2.9053517916000788</v>
      </c>
      <c r="Y339" s="314" t="str">
        <f t="shared" ca="1" si="167"/>
        <v/>
      </c>
      <c r="Z339" s="315" t="str">
        <f t="shared" ca="1" si="168"/>
        <v/>
      </c>
      <c r="AA339" s="316" t="str">
        <f t="shared" ca="1" si="169"/>
        <v/>
      </c>
      <c r="AC339" s="310" t="e">
        <f t="shared" ca="1" si="170"/>
        <v>#N/A</v>
      </c>
      <c r="AD339" s="323" t="e">
        <f t="shared" ca="1" si="171"/>
        <v>#N/A</v>
      </c>
      <c r="AE339" s="324" t="e">
        <f t="shared" ca="1" si="150"/>
        <v>#N/A</v>
      </c>
      <c r="AG339" s="306">
        <f t="shared" ca="1" si="172"/>
        <v>7.281862511151445</v>
      </c>
      <c r="AH339" s="304">
        <f t="shared" ca="1" si="173"/>
        <v>-1.0410308408561186</v>
      </c>
    </row>
    <row r="340" spans="1:34" x14ac:dyDescent="0.2">
      <c r="A340" s="347">
        <f t="shared" ca="1" si="151"/>
        <v>0.1</v>
      </c>
      <c r="B340" s="304">
        <f t="shared" ca="1" si="152"/>
        <v>18.799999999999958</v>
      </c>
      <c r="D340" s="306">
        <f t="shared" ca="1" si="153"/>
        <v>-0.56086523567561541</v>
      </c>
      <c r="E340" s="307">
        <f t="shared" ca="1" si="154"/>
        <v>-8.8819440330916084</v>
      </c>
      <c r="F340" s="304">
        <f t="shared" ca="1" si="155"/>
        <v>8.8996348025950542</v>
      </c>
      <c r="G340" s="306">
        <f t="shared" ca="1" si="156"/>
        <v>18.837752234932495</v>
      </c>
      <c r="H340" s="307">
        <f t="shared" ca="1" si="157"/>
        <v>-32.15156870838446</v>
      </c>
      <c r="I340" s="304">
        <f t="shared" ca="1" si="158"/>
        <v>37.263712639438801</v>
      </c>
      <c r="J340" s="306">
        <f t="shared" ca="1" si="159"/>
        <v>501.82549681577774</v>
      </c>
      <c r="K340" s="307">
        <f t="shared" ca="1" si="160"/>
        <v>1410.2907644550721</v>
      </c>
      <c r="L340" s="304">
        <f t="shared" ca="1" si="145"/>
        <v>1496.913113564603</v>
      </c>
      <c r="M340" s="306">
        <f t="shared" ca="1" si="161"/>
        <v>-1.0408055618709917</v>
      </c>
      <c r="N340" s="304">
        <f t="shared" ca="1" si="162"/>
        <v>-59.633765988950103</v>
      </c>
      <c r="P340" s="310">
        <f t="shared" ca="1" si="163"/>
        <v>23</v>
      </c>
      <c r="Q340" s="304">
        <f t="shared" ca="1" si="164"/>
        <v>0</v>
      </c>
      <c r="R340" s="306">
        <f t="shared" ca="1" si="165"/>
        <v>0</v>
      </c>
      <c r="S340" s="307">
        <f t="shared" ca="1" si="166"/>
        <v>2.6792999999999987</v>
      </c>
      <c r="T340" s="304">
        <f t="shared" ca="1" si="146"/>
        <v>26.283932999999987</v>
      </c>
      <c r="U340" s="311">
        <f t="shared" ca="1" si="147"/>
        <v>0</v>
      </c>
      <c r="V340" s="306">
        <f t="shared" ca="1" si="148"/>
        <v>1.0636190822475331</v>
      </c>
      <c r="W340" s="304">
        <f t="shared" ca="1" si="149"/>
        <v>3.0243443212615233</v>
      </c>
      <c r="Y340" s="314" t="str">
        <f t="shared" ca="1" si="167"/>
        <v/>
      </c>
      <c r="Z340" s="315" t="str">
        <f t="shared" ca="1" si="168"/>
        <v/>
      </c>
      <c r="AA340" s="316" t="str">
        <f t="shared" ca="1" si="169"/>
        <v/>
      </c>
      <c r="AC340" s="310" t="e">
        <f t="shared" ca="1" si="170"/>
        <v>#N/A</v>
      </c>
      <c r="AD340" s="323" t="e">
        <f t="shared" ca="1" si="171"/>
        <v>#N/A</v>
      </c>
      <c r="AE340" s="324" t="e">
        <f t="shared" ca="1" si="150"/>
        <v>#N/A</v>
      </c>
      <c r="AG340" s="306">
        <f t="shared" ca="1" si="172"/>
        <v>7.3115019689717577</v>
      </c>
      <c r="AH340" s="304">
        <f t="shared" ca="1" si="173"/>
        <v>-1.0843697203001084</v>
      </c>
    </row>
    <row r="341" spans="1:34" x14ac:dyDescent="0.2">
      <c r="A341" s="347">
        <f t="shared" ca="1" si="151"/>
        <v>0.1</v>
      </c>
      <c r="B341" s="304">
        <f t="shared" ca="1" si="152"/>
        <v>18.899999999999959</v>
      </c>
      <c r="D341" s="306">
        <f t="shared" ca="1" si="153"/>
        <v>-0.57062769804481561</v>
      </c>
      <c r="E341" s="307">
        <f t="shared" ca="1" si="154"/>
        <v>-8.8360740553443797</v>
      </c>
      <c r="F341" s="304">
        <f t="shared" ca="1" si="155"/>
        <v>8.8544802603713553</v>
      </c>
      <c r="G341" s="306">
        <f t="shared" ca="1" si="156"/>
        <v>18.780689465128013</v>
      </c>
      <c r="H341" s="307">
        <f t="shared" ca="1" si="157"/>
        <v>-33.035176113918901</v>
      </c>
      <c r="I341" s="304">
        <f t="shared" ca="1" si="158"/>
        <v>38.000488913475948</v>
      </c>
      <c r="J341" s="306">
        <f t="shared" ca="1" si="159"/>
        <v>503.70641890078076</v>
      </c>
      <c r="K341" s="307">
        <f t="shared" ca="1" si="160"/>
        <v>1407.0314272139569</v>
      </c>
      <c r="L341" s="304">
        <f t="shared" ca="1" si="145"/>
        <v>1494.4756918764499</v>
      </c>
      <c r="M341" s="306">
        <f t="shared" ca="1" si="161"/>
        <v>-1.0538563010362034</v>
      </c>
      <c r="N341" s="304">
        <f t="shared" ca="1" si="162"/>
        <v>-60.381518262642821</v>
      </c>
      <c r="P341" s="310">
        <f t="shared" ca="1" si="163"/>
        <v>23</v>
      </c>
      <c r="Q341" s="304">
        <f t="shared" ca="1" si="164"/>
        <v>0</v>
      </c>
      <c r="R341" s="306">
        <f t="shared" ca="1" si="165"/>
        <v>0</v>
      </c>
      <c r="S341" s="307">
        <f t="shared" ca="1" si="166"/>
        <v>2.6792999999999987</v>
      </c>
      <c r="T341" s="304">
        <f t="shared" ca="1" si="146"/>
        <v>26.283932999999987</v>
      </c>
      <c r="U341" s="311">
        <f t="shared" ca="1" si="147"/>
        <v>0</v>
      </c>
      <c r="V341" s="306">
        <f t="shared" ca="1" si="148"/>
        <v>1.0639675369798418</v>
      </c>
      <c r="W341" s="304">
        <f t="shared" ca="1" si="149"/>
        <v>3.1461513798581326</v>
      </c>
      <c r="Y341" s="314" t="str">
        <f t="shared" ca="1" si="167"/>
        <v/>
      </c>
      <c r="Z341" s="315" t="str">
        <f t="shared" ca="1" si="168"/>
        <v/>
      </c>
      <c r="AA341" s="316" t="str">
        <f t="shared" ca="1" si="169"/>
        <v/>
      </c>
      <c r="AC341" s="310" t="e">
        <f t="shared" ca="1" si="170"/>
        <v>#N/A</v>
      </c>
      <c r="AD341" s="323" t="e">
        <f t="shared" ca="1" si="171"/>
        <v>#N/A</v>
      </c>
      <c r="AE341" s="324" t="e">
        <f t="shared" ca="1" si="150"/>
        <v>#N/A</v>
      </c>
      <c r="AG341" s="306">
        <f t="shared" ca="1" si="172"/>
        <v>7.3354016427048281</v>
      </c>
      <c r="AH341" s="304">
        <f t="shared" ca="1" si="173"/>
        <v>-1.128781518031398</v>
      </c>
    </row>
    <row r="342" spans="1:34" x14ac:dyDescent="0.2">
      <c r="A342" s="347">
        <f t="shared" ca="1" si="151"/>
        <v>0.1</v>
      </c>
      <c r="B342" s="304">
        <f t="shared" ca="1" si="152"/>
        <v>18.999999999999961</v>
      </c>
      <c r="D342" s="306">
        <f t="shared" ca="1" si="153"/>
        <v>-0.58033747880644915</v>
      </c>
      <c r="E342" s="307">
        <f t="shared" ca="1" si="154"/>
        <v>-8.7891881254691722</v>
      </c>
      <c r="F342" s="304">
        <f t="shared" ca="1" si="155"/>
        <v>8.808326713638392</v>
      </c>
      <c r="G342" s="306">
        <f t="shared" ca="1" si="156"/>
        <v>18.722655717247367</v>
      </c>
      <c r="H342" s="307">
        <f t="shared" ca="1" si="157"/>
        <v>-33.914094926465815</v>
      </c>
      <c r="I342" s="304">
        <f t="shared" ca="1" si="158"/>
        <v>38.738916760641487</v>
      </c>
      <c r="J342" s="306">
        <f t="shared" ca="1" si="159"/>
        <v>505.58158615989953</v>
      </c>
      <c r="K342" s="307">
        <f t="shared" ca="1" si="160"/>
        <v>1403.6839636619377</v>
      </c>
      <c r="L342" s="304">
        <f t="shared" ca="1" si="145"/>
        <v>1491.9589170301065</v>
      </c>
      <c r="M342" s="306">
        <f t="shared" ca="1" si="161"/>
        <v>-1.0663720032249353</v>
      </c>
      <c r="N342" s="304">
        <f t="shared" ca="1" si="162"/>
        <v>-61.098615175699805</v>
      </c>
      <c r="P342" s="310">
        <f t="shared" ca="1" si="163"/>
        <v>23</v>
      </c>
      <c r="Q342" s="304">
        <f t="shared" ca="1" si="164"/>
        <v>0</v>
      </c>
      <c r="R342" s="306">
        <f t="shared" ca="1" si="165"/>
        <v>0</v>
      </c>
      <c r="S342" s="307">
        <f t="shared" ca="1" si="166"/>
        <v>2.6792999999999987</v>
      </c>
      <c r="T342" s="304">
        <f t="shared" ca="1" si="146"/>
        <v>26.283932999999987</v>
      </c>
      <c r="U342" s="311">
        <f t="shared" ca="1" si="147"/>
        <v>0</v>
      </c>
      <c r="V342" s="306">
        <f t="shared" ca="1" si="148"/>
        <v>1.0643255237364584</v>
      </c>
      <c r="W342" s="304">
        <f t="shared" ca="1" si="149"/>
        <v>3.2707119048256872</v>
      </c>
      <c r="Y342" s="314" t="str">
        <f t="shared" ca="1" si="167"/>
        <v/>
      </c>
      <c r="Z342" s="315" t="str">
        <f t="shared" ca="1" si="168"/>
        <v/>
      </c>
      <c r="AA342" s="316" t="str">
        <f t="shared" ca="1" si="169"/>
        <v/>
      </c>
      <c r="AC342" s="310">
        <f t="shared" ca="1" si="170"/>
        <v>18.999999999999961</v>
      </c>
      <c r="AD342" s="323">
        <f t="shared" ca="1" si="171"/>
        <v>505.58158615989953</v>
      </c>
      <c r="AE342" s="324" t="e">
        <f t="shared" ca="1" si="150"/>
        <v>#N/A</v>
      </c>
      <c r="AG342" s="306">
        <f t="shared" ca="1" si="172"/>
        <v>7.3539380055107202</v>
      </c>
      <c r="AH342" s="304">
        <f t="shared" ca="1" si="173"/>
        <v>-1.1742437875035026</v>
      </c>
    </row>
    <row r="343" spans="1:34" x14ac:dyDescent="0.2">
      <c r="A343" s="347">
        <f t="shared" ca="1" si="151"/>
        <v>0.1</v>
      </c>
      <c r="B343" s="304">
        <f t="shared" ca="1" si="152"/>
        <v>19.099999999999962</v>
      </c>
      <c r="D343" s="306">
        <f t="shared" ca="1" si="153"/>
        <v>-0.58998494058130457</v>
      </c>
      <c r="E343" s="307">
        <f t="shared" ca="1" si="154"/>
        <v>-8.7413051747446548</v>
      </c>
      <c r="F343" s="304">
        <f t="shared" ca="1" si="155"/>
        <v>8.7611927491712223</v>
      </c>
      <c r="G343" s="306">
        <f t="shared" ca="1" si="156"/>
        <v>18.663657223189237</v>
      </c>
      <c r="H343" s="307">
        <f t="shared" ca="1" si="157"/>
        <v>-34.788225443940277</v>
      </c>
      <c r="I343" s="304">
        <f t="shared" ca="1" si="158"/>
        <v>39.478509729764589</v>
      </c>
      <c r="J343" s="306">
        <f t="shared" ca="1" si="159"/>
        <v>507.45090180692137</v>
      </c>
      <c r="K343" s="307">
        <f t="shared" ca="1" si="160"/>
        <v>1400.2488476434173</v>
      </c>
      <c r="L343" s="304">
        <f t="shared" ca="1" si="145"/>
        <v>1489.3633717368559</v>
      </c>
      <c r="M343" s="306">
        <f t="shared" ca="1" si="161"/>
        <v>-1.078381883451768</v>
      </c>
      <c r="N343" s="304">
        <f t="shared" ca="1" si="162"/>
        <v>-61.786730625154938</v>
      </c>
      <c r="P343" s="310">
        <f t="shared" ca="1" si="163"/>
        <v>23</v>
      </c>
      <c r="Q343" s="304">
        <f t="shared" ca="1" si="164"/>
        <v>0</v>
      </c>
      <c r="R343" s="306">
        <f t="shared" ca="1" si="165"/>
        <v>0</v>
      </c>
      <c r="S343" s="307">
        <f t="shared" ca="1" si="166"/>
        <v>2.6792999999999987</v>
      </c>
      <c r="T343" s="304">
        <f t="shared" ca="1" si="146"/>
        <v>26.283932999999987</v>
      </c>
      <c r="U343" s="311">
        <f t="shared" ca="1" si="147"/>
        <v>0</v>
      </c>
      <c r="V343" s="306">
        <f t="shared" ca="1" si="148"/>
        <v>1.0646930007146087</v>
      </c>
      <c r="W343" s="304">
        <f t="shared" ca="1" si="149"/>
        <v>3.3979639640017112</v>
      </c>
      <c r="Y343" s="314" t="str">
        <f t="shared" ca="1" si="167"/>
        <v/>
      </c>
      <c r="Z343" s="315" t="str">
        <f t="shared" ca="1" si="168"/>
        <v/>
      </c>
      <c r="AA343" s="316" t="str">
        <f t="shared" ca="1" si="169"/>
        <v/>
      </c>
      <c r="AC343" s="310" t="e">
        <f t="shared" ca="1" si="170"/>
        <v>#N/A</v>
      </c>
      <c r="AD343" s="323" t="e">
        <f t="shared" ca="1" si="171"/>
        <v>#N/A</v>
      </c>
      <c r="AE343" s="324" t="e">
        <f t="shared" ca="1" si="150"/>
        <v>#N/A</v>
      </c>
      <c r="AG343" s="306">
        <f t="shared" ca="1" si="172"/>
        <v>7.367458680378097</v>
      </c>
      <c r="AH343" s="304">
        <f t="shared" ca="1" si="173"/>
        <v>-1.2207337382247934</v>
      </c>
    </row>
    <row r="344" spans="1:34" x14ac:dyDescent="0.2">
      <c r="A344" s="347">
        <f t="shared" ca="1" si="151"/>
        <v>0.1</v>
      </c>
      <c r="B344" s="304">
        <f t="shared" ca="1" si="152"/>
        <v>19.199999999999964</v>
      </c>
      <c r="D344" s="306">
        <f t="shared" ca="1" si="153"/>
        <v>-0.59956106744541704</v>
      </c>
      <c r="E344" s="307">
        <f t="shared" ca="1" si="154"/>
        <v>-8.6924448856794587</v>
      </c>
      <c r="F344" s="304">
        <f t="shared" ca="1" si="155"/>
        <v>8.7130977019755296</v>
      </c>
      <c r="G344" s="306">
        <f t="shared" ca="1" si="156"/>
        <v>18.603701116444697</v>
      </c>
      <c r="H344" s="307">
        <f t="shared" ca="1" si="157"/>
        <v>-35.657469932508221</v>
      </c>
      <c r="I344" s="304">
        <f t="shared" ca="1" si="158"/>
        <v>40.218812230319948</v>
      </c>
      <c r="J344" s="306">
        <f t="shared" ca="1" si="159"/>
        <v>509.31426972390307</v>
      </c>
      <c r="K344" s="307">
        <f t="shared" ca="1" si="160"/>
        <v>1396.7265628745949</v>
      </c>
      <c r="L344" s="304">
        <f t="shared" ca="1" si="145"/>
        <v>1486.6896504596621</v>
      </c>
      <c r="M344" s="306">
        <f t="shared" ca="1" si="161"/>
        <v>-1.0899133725129133</v>
      </c>
      <c r="N344" s="304">
        <f t="shared" ca="1" si="162"/>
        <v>-62.447436279859843</v>
      </c>
      <c r="P344" s="310">
        <f t="shared" ca="1" si="163"/>
        <v>23</v>
      </c>
      <c r="Q344" s="304">
        <f t="shared" ca="1" si="164"/>
        <v>0</v>
      </c>
      <c r="R344" s="306">
        <f t="shared" ca="1" si="165"/>
        <v>0</v>
      </c>
      <c r="S344" s="307">
        <f t="shared" ca="1" si="166"/>
        <v>2.6792999999999987</v>
      </c>
      <c r="T344" s="304">
        <f t="shared" ca="1" si="146"/>
        <v>26.283932999999987</v>
      </c>
      <c r="U344" s="311">
        <f t="shared" ca="1" si="147"/>
        <v>0</v>
      </c>
      <c r="V344" s="306">
        <f t="shared" ca="1" si="148"/>
        <v>1.0650699252295803</v>
      </c>
      <c r="W344" s="304">
        <f t="shared" ca="1" si="149"/>
        <v>3.5278448086108312</v>
      </c>
      <c r="Y344" s="314" t="str">
        <f t="shared" ca="1" si="167"/>
        <v/>
      </c>
      <c r="Z344" s="315" t="str">
        <f t="shared" ca="1" si="168"/>
        <v/>
      </c>
      <c r="AA344" s="316" t="str">
        <f t="shared" ca="1" si="169"/>
        <v/>
      </c>
      <c r="AC344" s="310" t="e">
        <f t="shared" ca="1" si="170"/>
        <v>#N/A</v>
      </c>
      <c r="AD344" s="323" t="e">
        <f t="shared" ca="1" si="171"/>
        <v>#N/A</v>
      </c>
      <c r="AE344" s="324" t="e">
        <f t="shared" ca="1" si="150"/>
        <v>#N/A</v>
      </c>
      <c r="AG344" s="306">
        <f t="shared" ca="1" si="172"/>
        <v>7.3762847708336841</v>
      </c>
      <c r="AH344" s="304">
        <f t="shared" ca="1" si="173"/>
        <v>-1.2682282551419075</v>
      </c>
    </row>
    <row r="345" spans="1:34" x14ac:dyDescent="0.2">
      <c r="A345" s="347">
        <f t="shared" ca="1" si="151"/>
        <v>0.1</v>
      </c>
      <c r="B345" s="304">
        <f t="shared" ca="1" si="152"/>
        <v>19.299999999999965</v>
      </c>
      <c r="D345" s="306">
        <f t="shared" ca="1" si="153"/>
        <v>-0.60905742359512627</v>
      </c>
      <c r="E345" s="307">
        <f t="shared" ca="1" si="154"/>
        <v>-8.6426276243055185</v>
      </c>
      <c r="F345" s="304">
        <f t="shared" ca="1" si="155"/>
        <v>8.6640615878261844</v>
      </c>
      <c r="G345" s="306">
        <f t="shared" ca="1" si="156"/>
        <v>18.542795374085184</v>
      </c>
      <c r="H345" s="307">
        <f t="shared" ca="1" si="157"/>
        <v>-36.52173269493877</v>
      </c>
      <c r="I345" s="304">
        <f t="shared" ca="1" si="158"/>
        <v>40.959397204130759</v>
      </c>
      <c r="J345" s="306">
        <f t="shared" ca="1" si="159"/>
        <v>511.17159454842954</v>
      </c>
      <c r="K345" s="307">
        <f t="shared" ca="1" si="160"/>
        <v>1393.1176027432225</v>
      </c>
      <c r="L345" s="304">
        <f t="shared" ca="1" si="145"/>
        <v>1483.9383592812094</v>
      </c>
      <c r="M345" s="306">
        <f t="shared" ca="1" si="161"/>
        <v>-1.1009922165390749</v>
      </c>
      <c r="N345" s="304">
        <f t="shared" ca="1" si="162"/>
        <v>-63.082207284442624</v>
      </c>
      <c r="P345" s="310">
        <f t="shared" ca="1" si="163"/>
        <v>23</v>
      </c>
      <c r="Q345" s="304">
        <f t="shared" ca="1" si="164"/>
        <v>0</v>
      </c>
      <c r="R345" s="306">
        <f t="shared" ca="1" si="165"/>
        <v>0</v>
      </c>
      <c r="S345" s="307">
        <f t="shared" ca="1" si="166"/>
        <v>2.6792999999999987</v>
      </c>
      <c r="T345" s="304">
        <f t="shared" ca="1" si="146"/>
        <v>26.283932999999987</v>
      </c>
      <c r="U345" s="311">
        <f t="shared" ca="1" si="147"/>
        <v>0</v>
      </c>
      <c r="V345" s="306">
        <f t="shared" ca="1" si="148"/>
        <v>1.0654562537307217</v>
      </c>
      <c r="W345" s="304">
        <f t="shared" ca="1" si="149"/>
        <v>3.6602909271278512</v>
      </c>
      <c r="Y345" s="314" t="str">
        <f t="shared" ca="1" si="167"/>
        <v/>
      </c>
      <c r="Z345" s="315" t="str">
        <f t="shared" ca="1" si="168"/>
        <v/>
      </c>
      <c r="AA345" s="316" t="str">
        <f t="shared" ca="1" si="169"/>
        <v/>
      </c>
      <c r="AC345" s="310" t="e">
        <f t="shared" ca="1" si="170"/>
        <v>#N/A</v>
      </c>
      <c r="AD345" s="323" t="e">
        <f t="shared" ca="1" si="171"/>
        <v>#N/A</v>
      </c>
      <c r="AE345" s="324" t="e">
        <f t="shared" ca="1" si="150"/>
        <v>#N/A</v>
      </c>
      <c r="AG345" s="306">
        <f t="shared" ca="1" si="172"/>
        <v>7.3807130523969198</v>
      </c>
      <c r="AH345" s="304">
        <f t="shared" ca="1" si="173"/>
        <v>-1.3167039184155687</v>
      </c>
    </row>
    <row r="346" spans="1:34" x14ac:dyDescent="0.2">
      <c r="A346" s="347">
        <f t="shared" ca="1" si="151"/>
        <v>0.1</v>
      </c>
      <c r="B346" s="304">
        <f t="shared" ca="1" si="152"/>
        <v>19.399999999999967</v>
      </c>
      <c r="D346" s="306">
        <f t="shared" ca="1" si="153"/>
        <v>-0.61846611545378405</v>
      </c>
      <c r="E346" s="307">
        <f t="shared" ca="1" si="154"/>
        <v>-8.5918743779566409</v>
      </c>
      <c r="F346" s="304">
        <f t="shared" ca="1" si="155"/>
        <v>8.6141050413001299</v>
      </c>
      <c r="G346" s="306">
        <f t="shared" ca="1" si="156"/>
        <v>18.480948762539807</v>
      </c>
      <c r="H346" s="307">
        <f t="shared" ca="1" si="157"/>
        <v>-37.380920132734431</v>
      </c>
      <c r="I346" s="304">
        <f t="shared" ca="1" si="158"/>
        <v>41.699863994184582</v>
      </c>
      <c r="J346" s="306">
        <f t="shared" ca="1" si="159"/>
        <v>513.02278175526078</v>
      </c>
      <c r="K346" s="307">
        <f t="shared" ca="1" si="160"/>
        <v>1389.4224701018388</v>
      </c>
      <c r="L346" s="304">
        <f t="shared" ca="1" si="145"/>
        <v>1481.1101157658065</v>
      </c>
      <c r="M346" s="306">
        <f t="shared" ca="1" si="161"/>
        <v>-1.1116425750814256</v>
      </c>
      <c r="N346" s="304">
        <f t="shared" ca="1" si="162"/>
        <v>-63.692427879220425</v>
      </c>
      <c r="P346" s="310">
        <f t="shared" ca="1" si="163"/>
        <v>23</v>
      </c>
      <c r="Q346" s="304">
        <f t="shared" ca="1" si="164"/>
        <v>0</v>
      </c>
      <c r="R346" s="306">
        <f t="shared" ca="1" si="165"/>
        <v>0</v>
      </c>
      <c r="S346" s="307">
        <f t="shared" ca="1" si="166"/>
        <v>2.6792999999999987</v>
      </c>
      <c r="T346" s="304">
        <f t="shared" ca="1" si="146"/>
        <v>26.283932999999987</v>
      </c>
      <c r="U346" s="311">
        <f t="shared" ca="1" si="147"/>
        <v>0</v>
      </c>
      <c r="V346" s="306">
        <f t="shared" ca="1" si="148"/>
        <v>1.0658519418180767</v>
      </c>
      <c r="W346" s="304">
        <f t="shared" ca="1" si="149"/>
        <v>3.7952380998558692</v>
      </c>
      <c r="Y346" s="314" t="str">
        <f t="shared" ca="1" si="167"/>
        <v/>
      </c>
      <c r="Z346" s="315" t="str">
        <f t="shared" ca="1" si="168"/>
        <v/>
      </c>
      <c r="AA346" s="316" t="str">
        <f t="shared" ca="1" si="169"/>
        <v/>
      </c>
      <c r="AC346" s="310" t="e">
        <f t="shared" ca="1" si="170"/>
        <v>#N/A</v>
      </c>
      <c r="AD346" s="323" t="e">
        <f t="shared" ca="1" si="171"/>
        <v>#N/A</v>
      </c>
      <c r="AE346" s="324" t="e">
        <f t="shared" ca="1" si="150"/>
        <v>#N/A</v>
      </c>
      <c r="AG346" s="306">
        <f t="shared" ca="1" si="172"/>
        <v>7.3810180176448421</v>
      </c>
      <c r="AH346" s="304">
        <f t="shared" ca="1" si="173"/>
        <v>-1.366137023524</v>
      </c>
    </row>
    <row r="347" spans="1:34" x14ac:dyDescent="0.2">
      <c r="A347" s="347">
        <f t="shared" ca="1" si="151"/>
        <v>0.1</v>
      </c>
      <c r="B347" s="304">
        <f t="shared" ca="1" si="152"/>
        <v>19.499999999999968</v>
      </c>
      <c r="D347" s="306">
        <f t="shared" ca="1" si="153"/>
        <v>-0.62777975696485055</v>
      </c>
      <c r="E347" s="307">
        <f t="shared" ca="1" si="154"/>
        <v>-8.5402066978499924</v>
      </c>
      <c r="F347" s="304">
        <f t="shared" ca="1" si="155"/>
        <v>8.5632492586200435</v>
      </c>
      <c r="G347" s="306">
        <f t="shared" ca="1" si="156"/>
        <v>18.418170786843323</v>
      </c>
      <c r="H347" s="307">
        <f t="shared" ca="1" si="157"/>
        <v>-38.234940802519432</v>
      </c>
      <c r="I347" s="304">
        <f t="shared" ca="1" si="158"/>
        <v>42.439836395837979</v>
      </c>
      <c r="J347" s="306">
        <f t="shared" ca="1" si="159"/>
        <v>514.86773773272989</v>
      </c>
      <c r="K347" s="307">
        <f t="shared" ca="1" si="160"/>
        <v>1385.6416770550761</v>
      </c>
      <c r="L347" s="304">
        <f t="shared" ca="1" si="145"/>
        <v>1478.2055488158685</v>
      </c>
      <c r="M347" s="306">
        <f t="shared" ca="1" si="161"/>
        <v>-1.1218871166126902</v>
      </c>
      <c r="N347" s="304">
        <f t="shared" ca="1" si="162"/>
        <v>-64.279396872008377</v>
      </c>
      <c r="P347" s="310">
        <f t="shared" ca="1" si="163"/>
        <v>23</v>
      </c>
      <c r="Q347" s="304">
        <f t="shared" ca="1" si="164"/>
        <v>0</v>
      </c>
      <c r="R347" s="306">
        <f t="shared" ca="1" si="165"/>
        <v>0</v>
      </c>
      <c r="S347" s="307">
        <f t="shared" ca="1" si="166"/>
        <v>2.6792999999999987</v>
      </c>
      <c r="T347" s="304">
        <f t="shared" ca="1" si="146"/>
        <v>26.283932999999987</v>
      </c>
      <c r="U347" s="311">
        <f t="shared" ca="1" si="147"/>
        <v>0</v>
      </c>
      <c r="V347" s="306">
        <f t="shared" ca="1" si="148"/>
        <v>1.0662569442596019</v>
      </c>
      <c r="W347" s="304">
        <f t="shared" ca="1" si="149"/>
        <v>3.9326214540667626</v>
      </c>
      <c r="Y347" s="314" t="str">
        <f t="shared" ca="1" si="167"/>
        <v/>
      </c>
      <c r="Z347" s="315" t="str">
        <f t="shared" ca="1" si="168"/>
        <v/>
      </c>
      <c r="AA347" s="316" t="str">
        <f t="shared" ca="1" si="169"/>
        <v/>
      </c>
      <c r="AC347" s="310" t="e">
        <f t="shared" ca="1" si="170"/>
        <v>#N/A</v>
      </c>
      <c r="AD347" s="323" t="e">
        <f t="shared" ca="1" si="171"/>
        <v>#N/A</v>
      </c>
      <c r="AE347" s="324" t="e">
        <f t="shared" ca="1" si="150"/>
        <v>#N/A</v>
      </c>
      <c r="AG347" s="306">
        <f t="shared" ca="1" si="172"/>
        <v>7.3774537732221406</v>
      </c>
      <c r="AH347" s="304">
        <f t="shared" ca="1" si="173"/>
        <v>-1.4165036016332142</v>
      </c>
    </row>
    <row r="348" spans="1:34" x14ac:dyDescent="0.2">
      <c r="A348" s="347">
        <f t="shared" ca="1" si="151"/>
        <v>0.1</v>
      </c>
      <c r="B348" s="304">
        <f t="shared" ca="1" si="152"/>
        <v>19.599999999999969</v>
      </c>
      <c r="D348" s="306">
        <f t="shared" ca="1" si="153"/>
        <v>-0.63699143781930478</v>
      </c>
      <c r="E348" s="307">
        <f t="shared" ca="1" si="154"/>
        <v>-8.4876466458802398</v>
      </c>
      <c r="F348" s="304">
        <f t="shared" ca="1" si="155"/>
        <v>8.5115159447173205</v>
      </c>
      <c r="G348" s="306">
        <f t="shared" ca="1" si="156"/>
        <v>18.354471643061391</v>
      </c>
      <c r="H348" s="307">
        <f t="shared" ca="1" si="157"/>
        <v>-39.083705467107457</v>
      </c>
      <c r="I348" s="304">
        <f t="shared" ca="1" si="158"/>
        <v>43.178960876051086</v>
      </c>
      <c r="J348" s="306">
        <f t="shared" ca="1" si="159"/>
        <v>516.70636985422516</v>
      </c>
      <c r="K348" s="307">
        <f t="shared" ca="1" si="160"/>
        <v>1381.7757447415947</v>
      </c>
      <c r="L348" s="304">
        <f t="shared" ca="1" si="145"/>
        <v>1475.2252985236255</v>
      </c>
      <c r="M348" s="306">
        <f t="shared" ca="1" si="161"/>
        <v>-1.1317471106541148</v>
      </c>
      <c r="N348" s="304">
        <f t="shared" ca="1" si="162"/>
        <v>-64.844332916606149</v>
      </c>
      <c r="P348" s="310">
        <f t="shared" ca="1" si="163"/>
        <v>23</v>
      </c>
      <c r="Q348" s="304">
        <f t="shared" ca="1" si="164"/>
        <v>0</v>
      </c>
      <c r="R348" s="306">
        <f t="shared" ca="1" si="165"/>
        <v>0</v>
      </c>
      <c r="S348" s="307">
        <f t="shared" ca="1" si="166"/>
        <v>2.6792999999999987</v>
      </c>
      <c r="T348" s="304">
        <f t="shared" ca="1" si="146"/>
        <v>26.283932999999987</v>
      </c>
      <c r="U348" s="311">
        <f t="shared" ca="1" si="147"/>
        <v>0</v>
      </c>
      <c r="V348" s="306">
        <f t="shared" ca="1" si="148"/>
        <v>1.0666712150089097</v>
      </c>
      <c r="W348" s="304">
        <f t="shared" ca="1" si="149"/>
        <v>4.0723755195602909</v>
      </c>
      <c r="Y348" s="314" t="str">
        <f t="shared" ca="1" si="167"/>
        <v/>
      </c>
      <c r="Z348" s="315" t="str">
        <f t="shared" ca="1" si="168"/>
        <v/>
      </c>
      <c r="AA348" s="316" t="str">
        <f t="shared" ca="1" si="169"/>
        <v/>
      </c>
      <c r="AC348" s="310" t="e">
        <f t="shared" ca="1" si="170"/>
        <v>#N/A</v>
      </c>
      <c r="AD348" s="323" t="e">
        <f t="shared" ca="1" si="171"/>
        <v>#N/A</v>
      </c>
      <c r="AE348" s="324" t="e">
        <f t="shared" ca="1" si="150"/>
        <v>#N/A</v>
      </c>
      <c r="AG348" s="306">
        <f t="shared" ca="1" si="172"/>
        <v>7.3702557910212851</v>
      </c>
      <c r="AH348" s="304">
        <f t="shared" ca="1" si="173"/>
        <v>-1.4677794401771973</v>
      </c>
    </row>
    <row r="349" spans="1:34" x14ac:dyDescent="0.2">
      <c r="A349" s="347">
        <f t="shared" ca="1" si="151"/>
        <v>0.1</v>
      </c>
      <c r="B349" s="304">
        <f t="shared" ca="1" si="152"/>
        <v>19.699999999999971</v>
      </c>
      <c r="D349" s="306">
        <f t="shared" ca="1" si="153"/>
        <v>-0.64609469437341704</v>
      </c>
      <c r="E349" s="307">
        <f t="shared" ca="1" si="154"/>
        <v>-8.4342167451168528</v>
      </c>
      <c r="F349" s="304">
        <f t="shared" ca="1" si="155"/>
        <v>8.4589272640038118</v>
      </c>
      <c r="G349" s="306">
        <f t="shared" ca="1" si="156"/>
        <v>18.289862173624048</v>
      </c>
      <c r="H349" s="307">
        <f t="shared" ca="1" si="157"/>
        <v>-39.927127141619145</v>
      </c>
      <c r="I349" s="304">
        <f t="shared" ca="1" si="158"/>
        <v>43.916904946878759</v>
      </c>
      <c r="J349" s="306">
        <f t="shared" ca="1" si="159"/>
        <v>518.53858654505939</v>
      </c>
      <c r="K349" s="307">
        <f t="shared" ca="1" si="160"/>
        <v>1377.8252031111583</v>
      </c>
      <c r="L349" s="304">
        <f t="shared" ca="1" si="145"/>
        <v>1472.1700160186842</v>
      </c>
      <c r="M349" s="306">
        <f t="shared" ca="1" si="161"/>
        <v>-1.1412425159968742</v>
      </c>
      <c r="N349" s="304">
        <f t="shared" ca="1" si="162"/>
        <v>-65.388379567512231</v>
      </c>
      <c r="P349" s="310">
        <f t="shared" ca="1" si="163"/>
        <v>23</v>
      </c>
      <c r="Q349" s="304">
        <f t="shared" ca="1" si="164"/>
        <v>0</v>
      </c>
      <c r="R349" s="306">
        <f t="shared" ca="1" si="165"/>
        <v>0</v>
      </c>
      <c r="S349" s="307">
        <f t="shared" ca="1" si="166"/>
        <v>2.6792999999999987</v>
      </c>
      <c r="T349" s="304">
        <f t="shared" ca="1" si="146"/>
        <v>26.283932999999987</v>
      </c>
      <c r="U349" s="311">
        <f t="shared" ca="1" si="147"/>
        <v>0</v>
      </c>
      <c r="V349" s="306">
        <f t="shared" ca="1" si="148"/>
        <v>1.0670947072234893</v>
      </c>
      <c r="W349" s="304">
        <f t="shared" ca="1" si="149"/>
        <v>4.2144342845063658</v>
      </c>
      <c r="Y349" s="314" t="str">
        <f t="shared" ca="1" si="167"/>
        <v/>
      </c>
      <c r="Z349" s="315" t="str">
        <f t="shared" ca="1" si="168"/>
        <v/>
      </c>
      <c r="AA349" s="316" t="str">
        <f t="shared" ca="1" si="169"/>
        <v/>
      </c>
      <c r="AC349" s="310" t="e">
        <f t="shared" ca="1" si="170"/>
        <v>#N/A</v>
      </c>
      <c r="AD349" s="323" t="e">
        <f t="shared" ca="1" si="171"/>
        <v>#N/A</v>
      </c>
      <c r="AE349" s="324" t="e">
        <f t="shared" ca="1" si="150"/>
        <v>#N/A</v>
      </c>
      <c r="AG349" s="306">
        <f t="shared" ca="1" si="172"/>
        <v>7.3596425184363099</v>
      </c>
      <c r="AH349" s="304">
        <f t="shared" ca="1" si="173"/>
        <v>-1.5199401035943316</v>
      </c>
    </row>
    <row r="350" spans="1:34" x14ac:dyDescent="0.2">
      <c r="A350" s="347">
        <f t="shared" ca="1" si="151"/>
        <v>0.1</v>
      </c>
      <c r="B350" s="304">
        <f t="shared" ca="1" si="152"/>
        <v>19.799999999999972</v>
      </c>
      <c r="D350" s="306">
        <f t="shared" ca="1" si="153"/>
        <v>-0.65508348302439245</v>
      </c>
      <c r="E350" s="307">
        <f t="shared" ca="1" si="154"/>
        <v>-8.3799399335655558</v>
      </c>
      <c r="F350" s="304">
        <f t="shared" ca="1" si="155"/>
        <v>8.4055057944122602</v>
      </c>
      <c r="G350" s="306">
        <f t="shared" ca="1" si="156"/>
        <v>18.224353825321607</v>
      </c>
      <c r="H350" s="307">
        <f t="shared" ca="1" si="157"/>
        <v>-40.765121134975701</v>
      </c>
      <c r="I350" s="304">
        <f t="shared" ca="1" si="158"/>
        <v>44.653355680169845</v>
      </c>
      <c r="J350" s="306">
        <f t="shared" ca="1" si="159"/>
        <v>520.36429734500666</v>
      </c>
      <c r="K350" s="307">
        <f t="shared" ca="1" si="160"/>
        <v>1373.7905906973285</v>
      </c>
      <c r="L350" s="304">
        <f t="shared" ca="1" si="145"/>
        <v>1469.0403633120084</v>
      </c>
      <c r="M350" s="306">
        <f t="shared" ca="1" si="161"/>
        <v>-1.1503920646867025</v>
      </c>
      <c r="N350" s="304">
        <f t="shared" ca="1" si="162"/>
        <v>-65.912610091888851</v>
      </c>
      <c r="P350" s="310">
        <f t="shared" ca="1" si="163"/>
        <v>23</v>
      </c>
      <c r="Q350" s="304">
        <f t="shared" ca="1" si="164"/>
        <v>0</v>
      </c>
      <c r="R350" s="306">
        <f t="shared" ca="1" si="165"/>
        <v>0</v>
      </c>
      <c r="S350" s="307">
        <f t="shared" ca="1" si="166"/>
        <v>2.6792999999999987</v>
      </c>
      <c r="T350" s="304">
        <f t="shared" ca="1" si="146"/>
        <v>26.283932999999987</v>
      </c>
      <c r="U350" s="311">
        <f t="shared" ca="1" si="147"/>
        <v>0</v>
      </c>
      <c r="V350" s="306">
        <f t="shared" ca="1" si="148"/>
        <v>1.0675273732833628</v>
      </c>
      <c r="W350" s="304">
        <f t="shared" ca="1" si="149"/>
        <v>4.3587312514424816</v>
      </c>
      <c r="Y350" s="314" t="str">
        <f t="shared" ca="1" si="167"/>
        <v/>
      </c>
      <c r="Z350" s="315" t="str">
        <f t="shared" ca="1" si="168"/>
        <v/>
      </c>
      <c r="AA350" s="316" t="str">
        <f t="shared" ca="1" si="169"/>
        <v/>
      </c>
      <c r="AC350" s="310" t="e">
        <f t="shared" ca="1" si="170"/>
        <v>#N/A</v>
      </c>
      <c r="AD350" s="323" t="e">
        <f t="shared" ca="1" si="171"/>
        <v>#N/A</v>
      </c>
      <c r="AE350" s="324" t="e">
        <f t="shared" ca="1" si="150"/>
        <v>#N/A</v>
      </c>
      <c r="AG350" s="306">
        <f t="shared" ca="1" si="172"/>
        <v>7.3458168543545739</v>
      </c>
      <c r="AH350" s="304">
        <f t="shared" ca="1" si="173"/>
        <v>-1.57296095416951</v>
      </c>
    </row>
    <row r="351" spans="1:34" x14ac:dyDescent="0.2">
      <c r="A351" s="347">
        <f t="shared" ca="1" si="151"/>
        <v>0.1</v>
      </c>
      <c r="B351" s="304">
        <f t="shared" ca="1" si="152"/>
        <v>19.899999999999974</v>
      </c>
      <c r="D351" s="306">
        <f t="shared" ca="1" si="153"/>
        <v>-0.66395215582482492</v>
      </c>
      <c r="E351" s="307">
        <f t="shared" ca="1" si="154"/>
        <v>-8.3248395208163384</v>
      </c>
      <c r="F351" s="304">
        <f t="shared" ca="1" si="155"/>
        <v>8.3512744843269306</v>
      </c>
      <c r="G351" s="306">
        <f t="shared" ca="1" si="156"/>
        <v>18.157958609739126</v>
      </c>
      <c r="H351" s="307">
        <f t="shared" ca="1" si="157"/>
        <v>-41.597605087057332</v>
      </c>
      <c r="I351" s="304">
        <f t="shared" ca="1" si="158"/>
        <v>45.388018351232049</v>
      </c>
      <c r="J351" s="306">
        <f t="shared" ca="1" si="159"/>
        <v>522.18341296675965</v>
      </c>
      <c r="K351" s="307">
        <f t="shared" ca="1" si="160"/>
        <v>1369.6724543862269</v>
      </c>
      <c r="L351" s="304">
        <f t="shared" ca="1" si="145"/>
        <v>1465.8370131368645</v>
      </c>
      <c r="M351" s="306">
        <f t="shared" ca="1" si="161"/>
        <v>-1.1592133415944561</v>
      </c>
      <c r="N351" s="304">
        <f t="shared" ca="1" si="162"/>
        <v>-66.418032028619336</v>
      </c>
      <c r="P351" s="310">
        <f t="shared" ca="1" si="163"/>
        <v>23</v>
      </c>
      <c r="Q351" s="304">
        <f t="shared" ca="1" si="164"/>
        <v>0</v>
      </c>
      <c r="R351" s="306">
        <f t="shared" ca="1" si="165"/>
        <v>0</v>
      </c>
      <c r="S351" s="307">
        <f t="shared" ca="1" si="166"/>
        <v>2.6792999999999987</v>
      </c>
      <c r="T351" s="304">
        <f t="shared" ca="1" si="146"/>
        <v>26.283932999999987</v>
      </c>
      <c r="U351" s="311">
        <f t="shared" ca="1" si="147"/>
        <v>0</v>
      </c>
      <c r="V351" s="306">
        <f t="shared" ca="1" si="148"/>
        <v>1.067969164810129</v>
      </c>
      <c r="W351" s="304">
        <f t="shared" ca="1" si="149"/>
        <v>4.5051994933052892</v>
      </c>
      <c r="Y351" s="314" t="str">
        <f t="shared" ca="1" si="167"/>
        <v/>
      </c>
      <c r="Z351" s="315" t="str">
        <f t="shared" ca="1" si="168"/>
        <v/>
      </c>
      <c r="AA351" s="316" t="str">
        <f t="shared" ca="1" si="169"/>
        <v/>
      </c>
      <c r="AC351" s="310" t="e">
        <f t="shared" ca="1" si="170"/>
        <v>#N/A</v>
      </c>
      <c r="AD351" s="323" t="e">
        <f t="shared" ca="1" si="171"/>
        <v>#N/A</v>
      </c>
      <c r="AE351" s="324" t="e">
        <f t="shared" ca="1" si="150"/>
        <v>#N/A</v>
      </c>
      <c r="AG351" s="306">
        <f t="shared" ca="1" si="172"/>
        <v>7.3289674986242721</v>
      </c>
      <c r="AH351" s="304">
        <f t="shared" ca="1" si="173"/>
        <v>-1.6268171729341558</v>
      </c>
    </row>
    <row r="352" spans="1:34" x14ac:dyDescent="0.2">
      <c r="A352" s="347">
        <f t="shared" ca="1" si="151"/>
        <v>0.1</v>
      </c>
      <c r="B352" s="304">
        <f t="shared" ca="1" si="152"/>
        <v>19.999999999999975</v>
      </c>
      <c r="D352" s="306">
        <f t="shared" ca="1" si="153"/>
        <v>-0.67269543813146426</v>
      </c>
      <c r="E352" s="307">
        <f t="shared" ca="1" si="154"/>
        <v>-8.2689391472536418</v>
      </c>
      <c r="F352" s="304">
        <f t="shared" ca="1" si="155"/>
        <v>8.2962566120791283</v>
      </c>
      <c r="G352" s="306">
        <f t="shared" ca="1" si="156"/>
        <v>18.090689065925979</v>
      </c>
      <c r="H352" s="307">
        <f t="shared" ca="1" si="157"/>
        <v>-42.424499001782699</v>
      </c>
      <c r="I352" s="304">
        <f t="shared" ca="1" si="158"/>
        <v>46.120615200062922</v>
      </c>
      <c r="J352" s="306">
        <f t="shared" ca="1" si="159"/>
        <v>523.99584535054294</v>
      </c>
      <c r="K352" s="307">
        <f t="shared" ca="1" si="160"/>
        <v>1365.4713491817849</v>
      </c>
      <c r="L352" s="304">
        <f t="shared" ca="1" si="145"/>
        <v>1462.5606487872406</v>
      </c>
      <c r="M352" s="306">
        <f t="shared" ca="1" si="161"/>
        <v>-1.1677228595121747</v>
      </c>
      <c r="N352" s="304">
        <f t="shared" ca="1" si="162"/>
        <v>-66.905591490995562</v>
      </c>
      <c r="P352" s="310">
        <f t="shared" ca="1" si="163"/>
        <v>23</v>
      </c>
      <c r="Q352" s="304">
        <f t="shared" ca="1" si="164"/>
        <v>0</v>
      </c>
      <c r="R352" s="306">
        <f t="shared" ca="1" si="165"/>
        <v>0</v>
      </c>
      <c r="S352" s="307">
        <f t="shared" ca="1" si="166"/>
        <v>2.6792999999999987</v>
      </c>
      <c r="T352" s="304">
        <f t="shared" ca="1" si="146"/>
        <v>26.283932999999987</v>
      </c>
      <c r="U352" s="311">
        <f t="shared" ca="1" si="147"/>
        <v>0</v>
      </c>
      <c r="V352" s="306">
        <f t="shared" ca="1" si="148"/>
        <v>1.0684200326863611</v>
      </c>
      <c r="W352" s="304">
        <f t="shared" ca="1" si="149"/>
        <v>4.6537717093817346</v>
      </c>
      <c r="Y352" s="314" t="str">
        <f t="shared" ca="1" si="167"/>
        <v/>
      </c>
      <c r="Z352" s="315" t="str">
        <f t="shared" ca="1" si="168"/>
        <v/>
      </c>
      <c r="AA352" s="316" t="str">
        <f t="shared" ca="1" si="169"/>
        <v/>
      </c>
      <c r="AC352" s="310">
        <f t="shared" ca="1" si="170"/>
        <v>19.999999999999975</v>
      </c>
      <c r="AD352" s="323">
        <f t="shared" ca="1" si="171"/>
        <v>523.99584535054294</v>
      </c>
      <c r="AE352" s="324" t="e">
        <f t="shared" ca="1" si="150"/>
        <v>#N/A</v>
      </c>
      <c r="AG352" s="306">
        <f t="shared" ca="1" si="172"/>
        <v>7.3092701833017735</v>
      </c>
      <c r="AH352" s="304">
        <f t="shared" ca="1" si="173"/>
        <v>-1.6814837805789913</v>
      </c>
    </row>
    <row r="353" spans="1:34" x14ac:dyDescent="0.2">
      <c r="A353" s="347">
        <f t="shared" ca="1" si="151"/>
        <v>0.1</v>
      </c>
      <c r="B353" s="304">
        <f t="shared" ca="1" si="152"/>
        <v>20.099999999999977</v>
      </c>
      <c r="D353" s="306">
        <f t="shared" ca="1" si="153"/>
        <v>-0.68130840809875559</v>
      </c>
      <c r="E353" s="307">
        <f t="shared" ca="1" si="154"/>
        <v>-8.2122627455505199</v>
      </c>
      <c r="F353" s="304">
        <f t="shared" ca="1" si="155"/>
        <v>8.2404757477285884</v>
      </c>
      <c r="G353" s="306">
        <f t="shared" ca="1" si="156"/>
        <v>18.022558225116104</v>
      </c>
      <c r="H353" s="307">
        <f t="shared" ca="1" si="157"/>
        <v>-43.245725276337751</v>
      </c>
      <c r="I353" s="304">
        <f t="shared" ca="1" si="158"/>
        <v>46.850884299596501</v>
      </c>
      <c r="J353" s="306">
        <f t="shared" ca="1" si="159"/>
        <v>525.801507715095</v>
      </c>
      <c r="K353" s="307">
        <f t="shared" ca="1" si="160"/>
        <v>1361.187837967879</v>
      </c>
      <c r="L353" s="304">
        <f t="shared" ca="1" si="145"/>
        <v>1459.2119639542213</v>
      </c>
      <c r="M353" s="306">
        <f t="shared" ca="1" si="161"/>
        <v>-1.1759361298015916</v>
      </c>
      <c r="N353" s="304">
        <f t="shared" ca="1" si="162"/>
        <v>-67.376177214579343</v>
      </c>
      <c r="P353" s="310">
        <f t="shared" ca="1" si="163"/>
        <v>23</v>
      </c>
      <c r="Q353" s="304">
        <f t="shared" ca="1" si="164"/>
        <v>0</v>
      </c>
      <c r="R353" s="306">
        <f t="shared" ca="1" si="165"/>
        <v>0</v>
      </c>
      <c r="S353" s="307">
        <f t="shared" ca="1" si="166"/>
        <v>2.6792999999999987</v>
      </c>
      <c r="T353" s="304">
        <f t="shared" ca="1" si="146"/>
        <v>26.283932999999987</v>
      </c>
      <c r="U353" s="311">
        <f t="shared" ca="1" si="147"/>
        <v>0</v>
      </c>
      <c r="V353" s="306">
        <f t="shared" ca="1" si="148"/>
        <v>1.0688799270753215</v>
      </c>
      <c r="W353" s="304">
        <f t="shared" ca="1" si="149"/>
        <v>4.8043802810712899</v>
      </c>
      <c r="Y353" s="314" t="str">
        <f t="shared" ca="1" si="167"/>
        <v/>
      </c>
      <c r="Z353" s="315" t="str">
        <f t="shared" ca="1" si="168"/>
        <v/>
      </c>
      <c r="AA353" s="316" t="str">
        <f t="shared" ca="1" si="169"/>
        <v/>
      </c>
      <c r="AC353" s="310" t="e">
        <f t="shared" ca="1" si="170"/>
        <v>#N/A</v>
      </c>
      <c r="AD353" s="323" t="e">
        <f t="shared" ca="1" si="171"/>
        <v>#N/A</v>
      </c>
      <c r="AE353" s="324" t="e">
        <f t="shared" ca="1" si="150"/>
        <v>#N/A</v>
      </c>
      <c r="AG353" s="306">
        <f t="shared" ca="1" si="172"/>
        <v>7.2868887941809417</v>
      </c>
      <c r="AH353" s="304">
        <f t="shared" ca="1" si="173"/>
        <v>-1.7369356583367808</v>
      </c>
    </row>
    <row r="354" spans="1:34" x14ac:dyDescent="0.2">
      <c r="A354" s="347">
        <f t="shared" ca="1" si="151"/>
        <v>0.1</v>
      </c>
      <c r="B354" s="304">
        <f t="shared" ca="1" si="152"/>
        <v>20.199999999999978</v>
      </c>
      <c r="D354" s="306">
        <f t="shared" ca="1" si="153"/>
        <v>-0.68978647784250813</v>
      </c>
      <c r="E354" s="307">
        <f t="shared" ca="1" si="154"/>
        <v>-8.1548345042082637</v>
      </c>
      <c r="F354" s="304">
        <f t="shared" ca="1" si="155"/>
        <v>8.1839557168914343</v>
      </c>
      <c r="G354" s="306">
        <f t="shared" ca="1" si="156"/>
        <v>17.953579577331851</v>
      </c>
      <c r="H354" s="307">
        <f t="shared" ca="1" si="157"/>
        <v>-44.061208726758579</v>
      </c>
      <c r="I354" s="304">
        <f t="shared" ca="1" si="158"/>
        <v>47.578578521248126</v>
      </c>
      <c r="J354" s="306">
        <f t="shared" ca="1" si="159"/>
        <v>527.60031460521736</v>
      </c>
      <c r="K354" s="307">
        <f t="shared" ca="1" si="160"/>
        <v>1356.8224912677242</v>
      </c>
      <c r="L354" s="304">
        <f t="shared" ca="1" si="145"/>
        <v>1455.7916625607793</v>
      </c>
      <c r="M354" s="306">
        <f t="shared" ca="1" si="161"/>
        <v>-1.1838677286861083</v>
      </c>
      <c r="N354" s="304">
        <f t="shared" ca="1" si="162"/>
        <v>-67.830624355452827</v>
      </c>
      <c r="P354" s="310">
        <f t="shared" ca="1" si="163"/>
        <v>23</v>
      </c>
      <c r="Q354" s="304">
        <f t="shared" ca="1" si="164"/>
        <v>0</v>
      </c>
      <c r="R354" s="306">
        <f t="shared" ca="1" si="165"/>
        <v>0</v>
      </c>
      <c r="S354" s="307">
        <f t="shared" ca="1" si="166"/>
        <v>2.6792999999999987</v>
      </c>
      <c r="T354" s="304">
        <f t="shared" ca="1" si="146"/>
        <v>26.283932999999987</v>
      </c>
      <c r="U354" s="311">
        <f t="shared" ca="1" si="147"/>
        <v>0</v>
      </c>
      <c r="V354" s="306">
        <f t="shared" ca="1" si="148"/>
        <v>1.069348797440953</v>
      </c>
      <c r="W354" s="304">
        <f t="shared" ca="1" si="149"/>
        <v>4.9569573273563998</v>
      </c>
      <c r="Y354" s="314" t="str">
        <f t="shared" ca="1" si="167"/>
        <v/>
      </c>
      <c r="Z354" s="315" t="str">
        <f t="shared" ca="1" si="168"/>
        <v/>
      </c>
      <c r="AA354" s="316" t="str">
        <f t="shared" ca="1" si="169"/>
        <v/>
      </c>
      <c r="AC354" s="310" t="e">
        <f t="shared" ca="1" si="170"/>
        <v>#N/A</v>
      </c>
      <c r="AD354" s="323" t="e">
        <f t="shared" ca="1" si="171"/>
        <v>#N/A</v>
      </c>
      <c r="AE354" s="324" t="e">
        <f t="shared" ca="1" si="150"/>
        <v>#N/A</v>
      </c>
      <c r="AG354" s="306">
        <f t="shared" ca="1" si="172"/>
        <v>7.2619763910434099</v>
      </c>
      <c r="AH354" s="304">
        <f t="shared" ca="1" si="173"/>
        <v>-1.7931475687945704</v>
      </c>
    </row>
    <row r="355" spans="1:34" x14ac:dyDescent="0.2">
      <c r="A355" s="347">
        <f t="shared" ca="1" si="151"/>
        <v>0.1</v>
      </c>
      <c r="B355" s="304">
        <f t="shared" ca="1" si="152"/>
        <v>20.299999999999979</v>
      </c>
      <c r="D355" s="306">
        <f t="shared" ca="1" si="153"/>
        <v>-0.69812537611351788</v>
      </c>
      <c r="E355" s="307">
        <f t="shared" ca="1" si="154"/>
        <v>-8.0966788329374513</v>
      </c>
      <c r="F355" s="304">
        <f t="shared" ca="1" si="155"/>
        <v>8.1267205664099844</v>
      </c>
      <c r="G355" s="306">
        <f t="shared" ca="1" si="156"/>
        <v>17.8837670397205</v>
      </c>
      <c r="H355" s="307">
        <f t="shared" ca="1" si="157"/>
        <v>-44.870876610052328</v>
      </c>
      <c r="I355" s="304">
        <f t="shared" ca="1" si="158"/>
        <v>48.303464588842218</v>
      </c>
      <c r="J355" s="306">
        <f t="shared" ca="1" si="159"/>
        <v>529.39218193606996</v>
      </c>
      <c r="K355" s="307">
        <f t="shared" ca="1" si="160"/>
        <v>1352.3758870008837</v>
      </c>
      <c r="L355" s="304">
        <f t="shared" ca="1" si="145"/>
        <v>1452.3004585954175</v>
      </c>
      <c r="M355" s="306">
        <f t="shared" ca="1" si="161"/>
        <v>-1.1915313593229904</v>
      </c>
      <c r="N355" s="304">
        <f t="shared" ca="1" si="162"/>
        <v>-68.269718046693328</v>
      </c>
      <c r="P355" s="310">
        <f t="shared" ca="1" si="163"/>
        <v>23</v>
      </c>
      <c r="Q355" s="304">
        <f t="shared" ca="1" si="164"/>
        <v>0</v>
      </c>
      <c r="R355" s="306">
        <f t="shared" ca="1" si="165"/>
        <v>0</v>
      </c>
      <c r="S355" s="307">
        <f t="shared" ca="1" si="166"/>
        <v>2.6792999999999987</v>
      </c>
      <c r="T355" s="304">
        <f t="shared" ca="1" si="146"/>
        <v>26.283932999999987</v>
      </c>
      <c r="U355" s="311">
        <f t="shared" ca="1" si="147"/>
        <v>0</v>
      </c>
      <c r="V355" s="306">
        <f t="shared" ca="1" si="148"/>
        <v>1.0698265925681236</v>
      </c>
      <c r="W355" s="304">
        <f t="shared" ca="1" si="149"/>
        <v>5.1114347598837968</v>
      </c>
      <c r="Y355" s="314" t="str">
        <f t="shared" ca="1" si="167"/>
        <v/>
      </c>
      <c r="Z355" s="315" t="str">
        <f t="shared" ca="1" si="168"/>
        <v/>
      </c>
      <c r="AA355" s="316" t="str">
        <f t="shared" ca="1" si="169"/>
        <v/>
      </c>
      <c r="AC355" s="310" t="e">
        <f t="shared" ca="1" si="170"/>
        <v>#N/A</v>
      </c>
      <c r="AD355" s="323" t="e">
        <f t="shared" ca="1" si="171"/>
        <v>#N/A</v>
      </c>
      <c r="AE355" s="324" t="e">
        <f t="shared" ca="1" si="150"/>
        <v>#N/A</v>
      </c>
      <c r="AG355" s="306">
        <f t="shared" ca="1" si="172"/>
        <v>7.2346761348251087</v>
      </c>
      <c r="AH355" s="304">
        <f t="shared" ca="1" si="173"/>
        <v>-1.8500941765970225</v>
      </c>
    </row>
    <row r="356" spans="1:34" x14ac:dyDescent="0.2">
      <c r="A356" s="347">
        <f t="shared" ca="1" si="151"/>
        <v>0.1</v>
      </c>
      <c r="B356" s="304">
        <f t="shared" ca="1" si="152"/>
        <v>20.399999999999981</v>
      </c>
      <c r="D356" s="306">
        <f t="shared" ca="1" si="153"/>
        <v>-0.70632113233485205</v>
      </c>
      <c r="E356" s="307">
        <f t="shared" ca="1" si="154"/>
        <v>-8.0378203297058324</v>
      </c>
      <c r="F356" s="304">
        <f t="shared" ca="1" si="155"/>
        <v>8.0687945316890541</v>
      </c>
      <c r="G356" s="306">
        <f t="shared" ca="1" si="156"/>
        <v>17.813134926487013</v>
      </c>
      <c r="H356" s="307">
        <f t="shared" ca="1" si="157"/>
        <v>-45.674658643022909</v>
      </c>
      <c r="I356" s="304">
        <f t="shared" ca="1" si="158"/>
        <v>49.025322212769787</v>
      </c>
      <c r="J356" s="306">
        <f t="shared" ca="1" si="159"/>
        <v>531.17702703438033</v>
      </c>
      <c r="K356" s="307">
        <f t="shared" ca="1" si="160"/>
        <v>1347.8486102382299</v>
      </c>
      <c r="L356" s="304">
        <f t="shared" ca="1" si="145"/>
        <v>1448.739075945082</v>
      </c>
      <c r="M356" s="306">
        <f t="shared" ca="1" si="161"/>
        <v>-1.1989399098239875</v>
      </c>
      <c r="N356" s="304">
        <f t="shared" ca="1" si="162"/>
        <v>-68.694196722709989</v>
      </c>
      <c r="P356" s="310">
        <f t="shared" ca="1" si="163"/>
        <v>23</v>
      </c>
      <c r="Q356" s="304">
        <f t="shared" ca="1" si="164"/>
        <v>0</v>
      </c>
      <c r="R356" s="306">
        <f t="shared" ca="1" si="165"/>
        <v>0</v>
      </c>
      <c r="S356" s="307">
        <f t="shared" ca="1" si="166"/>
        <v>2.6792999999999987</v>
      </c>
      <c r="T356" s="304">
        <f t="shared" ca="1" si="146"/>
        <v>26.283932999999987</v>
      </c>
      <c r="U356" s="311">
        <f t="shared" ca="1" si="147"/>
        <v>0</v>
      </c>
      <c r="V356" s="306">
        <f t="shared" ca="1" si="148"/>
        <v>1.0703132605830854</v>
      </c>
      <c r="W356" s="304">
        <f t="shared" ca="1" si="149"/>
        <v>5.2677443375644133</v>
      </c>
      <c r="Y356" s="314" t="str">
        <f t="shared" ca="1" si="167"/>
        <v/>
      </c>
      <c r="Z356" s="315" t="str">
        <f t="shared" ca="1" si="168"/>
        <v/>
      </c>
      <c r="AA356" s="316" t="str">
        <f t="shared" ca="1" si="169"/>
        <v/>
      </c>
      <c r="AC356" s="310" t="e">
        <f t="shared" ca="1" si="170"/>
        <v>#N/A</v>
      </c>
      <c r="AD356" s="323" t="e">
        <f t="shared" ca="1" si="171"/>
        <v>#N/A</v>
      </c>
      <c r="AE356" s="324" t="e">
        <f t="shared" ca="1" si="150"/>
        <v>#N/A</v>
      </c>
      <c r="AG356" s="306">
        <f t="shared" ca="1" si="172"/>
        <v>7.2051221295311727</v>
      </c>
      <c r="AH356" s="304">
        <f t="shared" ca="1" si="173"/>
        <v>-1.9077500690045159</v>
      </c>
    </row>
    <row r="357" spans="1:34" x14ac:dyDescent="0.2">
      <c r="A357" s="347">
        <f t="shared" ca="1" si="151"/>
        <v>0.1</v>
      </c>
      <c r="B357" s="304">
        <f t="shared" ca="1" si="152"/>
        <v>20.499999999999982</v>
      </c>
      <c r="D357" s="306">
        <f t="shared" ca="1" si="153"/>
        <v>-0.71437006186957386</v>
      </c>
      <c r="E357" s="307">
        <f t="shared" ca="1" si="154"/>
        <v>-7.9782837493039356</v>
      </c>
      <c r="F357" s="304">
        <f t="shared" ca="1" si="155"/>
        <v>8.0102020055490986</v>
      </c>
      <c r="G357" s="306">
        <f t="shared" ca="1" si="156"/>
        <v>17.741697920300055</v>
      </c>
      <c r="H357" s="307">
        <f t="shared" ca="1" si="157"/>
        <v>-46.472487017953306</v>
      </c>
      <c r="I357" s="304">
        <f t="shared" ca="1" si="158"/>
        <v>49.743943296938347</v>
      </c>
      <c r="J357" s="306">
        <f t="shared" ca="1" si="159"/>
        <v>532.95476867671971</v>
      </c>
      <c r="K357" s="307">
        <f t="shared" ca="1" si="160"/>
        <v>1343.2412529551812</v>
      </c>
      <c r="L357" s="304">
        <f t="shared" ca="1" si="145"/>
        <v>1445.1082482277445</v>
      </c>
      <c r="M357" s="306">
        <f t="shared" ca="1" si="161"/>
        <v>-1.2061055074129456</v>
      </c>
      <c r="N357" s="304">
        <f t="shared" ca="1" si="162"/>
        <v>-69.104755222246411</v>
      </c>
      <c r="P357" s="310">
        <f t="shared" ca="1" si="163"/>
        <v>23</v>
      </c>
      <c r="Q357" s="304">
        <f t="shared" ca="1" si="164"/>
        <v>0</v>
      </c>
      <c r="R357" s="306">
        <f t="shared" ca="1" si="165"/>
        <v>0</v>
      </c>
      <c r="S357" s="307">
        <f t="shared" ca="1" si="166"/>
        <v>2.6792999999999987</v>
      </c>
      <c r="T357" s="304">
        <f t="shared" ca="1" si="146"/>
        <v>26.283932999999987</v>
      </c>
      <c r="U357" s="311">
        <f t="shared" ca="1" si="147"/>
        <v>0</v>
      </c>
      <c r="V357" s="306">
        <f t="shared" ca="1" si="148"/>
        <v>1.0708087489741265</v>
      </c>
      <c r="W357" s="304">
        <f t="shared" ca="1" si="149"/>
        <v>5.4258177206046039</v>
      </c>
      <c r="Y357" s="314" t="str">
        <f t="shared" ca="1" si="167"/>
        <v/>
      </c>
      <c r="Z357" s="315" t="str">
        <f t="shared" ca="1" si="168"/>
        <v/>
      </c>
      <c r="AA357" s="316" t="str">
        <f t="shared" ca="1" si="169"/>
        <v/>
      </c>
      <c r="AC357" s="310" t="e">
        <f t="shared" ca="1" si="170"/>
        <v>#N/A</v>
      </c>
      <c r="AD357" s="323" t="e">
        <f t="shared" ca="1" si="171"/>
        <v>#N/A</v>
      </c>
      <c r="AE357" s="324" t="e">
        <f t="shared" ca="1" si="150"/>
        <v>#N/A</v>
      </c>
      <c r="AG357" s="306">
        <f t="shared" ca="1" si="172"/>
        <v>7.1734401862942807</v>
      </c>
      <c r="AH357" s="304">
        <f t="shared" ca="1" si="173"/>
        <v>-1.9660897762715694</v>
      </c>
    </row>
    <row r="358" spans="1:34" x14ac:dyDescent="0.2">
      <c r="A358" s="347">
        <f t="shared" ca="1" si="151"/>
        <v>0.1</v>
      </c>
      <c r="B358" s="304">
        <f t="shared" ca="1" si="152"/>
        <v>20.599999999999984</v>
      </c>
      <c r="D358" s="306">
        <f t="shared" ca="1" si="153"/>
        <v>-0.72226875239794885</v>
      </c>
      <c r="E358" s="307">
        <f t="shared" ca="1" si="154"/>
        <v>-7.9180939733011009</v>
      </c>
      <c r="F358" s="304">
        <f t="shared" ca="1" si="155"/>
        <v>7.9509675084682438</v>
      </c>
      <c r="G358" s="306">
        <f t="shared" ca="1" si="156"/>
        <v>17.669471045060259</v>
      </c>
      <c r="H358" s="307">
        <f t="shared" ca="1" si="157"/>
        <v>-47.264296415283418</v>
      </c>
      <c r="I358" s="304">
        <f t="shared" ca="1" si="158"/>
        <v>50.45913121174398</v>
      </c>
      <c r="J358" s="306">
        <f t="shared" ca="1" si="159"/>
        <v>534.72532712498776</v>
      </c>
      <c r="K358" s="307">
        <f t="shared" ca="1" si="160"/>
        <v>1338.5544137835193</v>
      </c>
      <c r="L358" s="304">
        <f t="shared" ca="1" si="145"/>
        <v>1441.4087186250354</v>
      </c>
      <c r="M358" s="306">
        <f t="shared" ca="1" si="161"/>
        <v>-1.2130395689208331</v>
      </c>
      <c r="N358" s="304">
        <f t="shared" ca="1" si="162"/>
        <v>-69.502047681532474</v>
      </c>
      <c r="P358" s="310">
        <f t="shared" ca="1" si="163"/>
        <v>23</v>
      </c>
      <c r="Q358" s="304">
        <f t="shared" ca="1" si="164"/>
        <v>0</v>
      </c>
      <c r="R358" s="306">
        <f t="shared" ca="1" si="165"/>
        <v>0</v>
      </c>
      <c r="S358" s="307">
        <f t="shared" ca="1" si="166"/>
        <v>2.6792999999999987</v>
      </c>
      <c r="T358" s="304">
        <f t="shared" ca="1" si="146"/>
        <v>26.283932999999987</v>
      </c>
      <c r="U358" s="311">
        <f t="shared" ca="1" si="147"/>
        <v>0</v>
      </c>
      <c r="V358" s="306">
        <f t="shared" ca="1" si="148"/>
        <v>1.07131300461238</v>
      </c>
      <c r="W358" s="304">
        <f t="shared" ca="1" si="149"/>
        <v>5.5855865238861586</v>
      </c>
      <c r="Y358" s="314" t="str">
        <f t="shared" ca="1" si="167"/>
        <v/>
      </c>
      <c r="Z358" s="315" t="str">
        <f t="shared" ca="1" si="168"/>
        <v/>
      </c>
      <c r="AA358" s="316" t="str">
        <f t="shared" ca="1" si="169"/>
        <v/>
      </c>
      <c r="AC358" s="310" t="e">
        <f t="shared" ca="1" si="170"/>
        <v>#N/A</v>
      </c>
      <c r="AD358" s="323" t="e">
        <f t="shared" ca="1" si="171"/>
        <v>#N/A</v>
      </c>
      <c r="AE358" s="324" t="e">
        <f t="shared" ca="1" si="150"/>
        <v>#N/A</v>
      </c>
      <c r="AG358" s="306">
        <f t="shared" ca="1" si="172"/>
        <v>7.1397485164935182</v>
      </c>
      <c r="AH358" s="304">
        <f t="shared" ca="1" si="173"/>
        <v>-2.0250877918130135</v>
      </c>
    </row>
    <row r="359" spans="1:34" x14ac:dyDescent="0.2">
      <c r="A359" s="347">
        <f t="shared" ca="1" si="151"/>
        <v>0.1</v>
      </c>
      <c r="B359" s="304">
        <f t="shared" ca="1" si="152"/>
        <v>20.699999999999985</v>
      </c>
      <c r="D359" s="306">
        <f t="shared" ca="1" si="153"/>
        <v>-0.73001405129455443</v>
      </c>
      <c r="E359" s="307">
        <f t="shared" ca="1" si="154"/>
        <v>-7.8572759812833404</v>
      </c>
      <c r="F359" s="304">
        <f t="shared" ca="1" si="155"/>
        <v>7.8911156601040622</v>
      </c>
      <c r="G359" s="306">
        <f t="shared" ca="1" si="156"/>
        <v>17.596469639930802</v>
      </c>
      <c r="H359" s="307">
        <f t="shared" ca="1" si="157"/>
        <v>-48.05002401341175</v>
      </c>
      <c r="I359" s="304">
        <f t="shared" ca="1" si="158"/>
        <v>51.170700126912983</v>
      </c>
      <c r="J359" s="306">
        <f t="shared" ca="1" si="159"/>
        <v>536.48862415923736</v>
      </c>
      <c r="K359" s="307">
        <f t="shared" ca="1" si="160"/>
        <v>1333.7886977620844</v>
      </c>
      <c r="L359" s="304">
        <f t="shared" ca="1" si="145"/>
        <v>1437.6412397153015</v>
      </c>
      <c r="M359" s="306">
        <f t="shared" ca="1" si="161"/>
        <v>-1.2197528478240174</v>
      </c>
      <c r="N359" s="304">
        <f t="shared" ca="1" si="162"/>
        <v>-69.886690229379155</v>
      </c>
      <c r="P359" s="310">
        <f t="shared" ca="1" si="163"/>
        <v>23</v>
      </c>
      <c r="Q359" s="304">
        <f t="shared" ca="1" si="164"/>
        <v>0</v>
      </c>
      <c r="R359" s="306">
        <f t="shared" ca="1" si="165"/>
        <v>0</v>
      </c>
      <c r="S359" s="307">
        <f t="shared" ca="1" si="166"/>
        <v>2.6792999999999987</v>
      </c>
      <c r="T359" s="304">
        <f t="shared" ca="1" si="146"/>
        <v>26.283932999999987</v>
      </c>
      <c r="U359" s="311">
        <f t="shared" ca="1" si="147"/>
        <v>0</v>
      </c>
      <c r="V359" s="306">
        <f t="shared" ca="1" si="148"/>
        <v>1.071825973772774</v>
      </c>
      <c r="W359" s="304">
        <f t="shared" ca="1" si="149"/>
        <v>5.7469823696172107</v>
      </c>
      <c r="Y359" s="314" t="str">
        <f t="shared" ca="1" si="167"/>
        <v/>
      </c>
      <c r="Z359" s="315" t="str">
        <f t="shared" ca="1" si="168"/>
        <v/>
      </c>
      <c r="AA359" s="316" t="str">
        <f t="shared" ca="1" si="169"/>
        <v/>
      </c>
      <c r="AC359" s="310" t="e">
        <f t="shared" ca="1" si="170"/>
        <v>#N/A</v>
      </c>
      <c r="AD359" s="323" t="e">
        <f t="shared" ca="1" si="171"/>
        <v>#N/A</v>
      </c>
      <c r="AE359" s="324" t="e">
        <f t="shared" ca="1" si="150"/>
        <v>#N/A</v>
      </c>
      <c r="AG359" s="306">
        <f t="shared" ca="1" si="172"/>
        <v>7.1041583603562959</v>
      </c>
      <c r="AH359" s="304">
        <f t="shared" ca="1" si="173"/>
        <v>-2.0847185921271083</v>
      </c>
    </row>
    <row r="360" spans="1:34" x14ac:dyDescent="0.2">
      <c r="A360" s="347">
        <f t="shared" ca="1" si="151"/>
        <v>0.1</v>
      </c>
      <c r="B360" s="304">
        <f t="shared" ca="1" si="152"/>
        <v>20.799999999999986</v>
      </c>
      <c r="D360" s="306">
        <f t="shared" ca="1" si="153"/>
        <v>-0.73760305390619241</v>
      </c>
      <c r="E360" s="307">
        <f t="shared" ca="1" si="154"/>
        <v>-7.7958548232804628</v>
      </c>
      <c r="F360" s="304">
        <f t="shared" ca="1" si="155"/>
        <v>7.8306711520020427</v>
      </c>
      <c r="G360" s="306">
        <f t="shared" ca="1" si="156"/>
        <v>17.522709334540185</v>
      </c>
      <c r="H360" s="307">
        <f t="shared" ca="1" si="157"/>
        <v>-48.829609495739795</v>
      </c>
      <c r="I360" s="304">
        <f t="shared" ca="1" si="158"/>
        <v>51.878474398629187</v>
      </c>
      <c r="J360" s="306">
        <f t="shared" ca="1" si="159"/>
        <v>538.24458310796092</v>
      </c>
      <c r="K360" s="307">
        <f t="shared" ca="1" si="160"/>
        <v>1328.9447160866268</v>
      </c>
      <c r="L360" s="304">
        <f t="shared" ca="1" si="145"/>
        <v>1433.8065733074416</v>
      </c>
      <c r="M360" s="306">
        <f t="shared" ca="1" si="161"/>
        <v>-1.2262554780321815</v>
      </c>
      <c r="N360" s="304">
        <f t="shared" ca="1" si="162"/>
        <v>-70.259263496041228</v>
      </c>
      <c r="P360" s="310">
        <f t="shared" ca="1" si="163"/>
        <v>23</v>
      </c>
      <c r="Q360" s="304">
        <f t="shared" ca="1" si="164"/>
        <v>0</v>
      </c>
      <c r="R360" s="306">
        <f t="shared" ca="1" si="165"/>
        <v>0</v>
      </c>
      <c r="S360" s="307">
        <f t="shared" ca="1" si="166"/>
        <v>2.6792999999999987</v>
      </c>
      <c r="T360" s="304">
        <f t="shared" ca="1" si="146"/>
        <v>26.283932999999987</v>
      </c>
      <c r="U360" s="311">
        <f t="shared" ca="1" si="147"/>
        <v>0</v>
      </c>
      <c r="V360" s="306">
        <f t="shared" ca="1" si="148"/>
        <v>1.072347602155086</v>
      </c>
      <c r="W360" s="304">
        <f t="shared" ca="1" si="149"/>
        <v>5.9099369391806151</v>
      </c>
      <c r="Y360" s="314" t="str">
        <f t="shared" ca="1" si="167"/>
        <v/>
      </c>
      <c r="Z360" s="315" t="str">
        <f t="shared" ca="1" si="168"/>
        <v/>
      </c>
      <c r="AA360" s="316" t="str">
        <f t="shared" ca="1" si="169"/>
        <v/>
      </c>
      <c r="AC360" s="310" t="e">
        <f t="shared" ca="1" si="170"/>
        <v>#N/A</v>
      </c>
      <c r="AD360" s="323" t="e">
        <f t="shared" ca="1" si="171"/>
        <v>#N/A</v>
      </c>
      <c r="AE360" s="324" t="e">
        <f t="shared" ca="1" si="150"/>
        <v>#N/A</v>
      </c>
      <c r="AG360" s="306">
        <f t="shared" ca="1" si="172"/>
        <v>7.0667745569720966</v>
      </c>
      <c r="AH360" s="304">
        <f t="shared" ca="1" si="173"/>
        <v>-2.1449566564465394</v>
      </c>
    </row>
    <row r="361" spans="1:34" x14ac:dyDescent="0.2">
      <c r="A361" s="347">
        <f t="shared" ca="1" si="151"/>
        <v>0.1</v>
      </c>
      <c r="B361" s="304">
        <f t="shared" ca="1" si="152"/>
        <v>20.899999999999988</v>
      </c>
      <c r="D361" s="306">
        <f t="shared" ca="1" si="153"/>
        <v>-0.74503309264116868</v>
      </c>
      <c r="E361" s="307">
        <f t="shared" ca="1" si="154"/>
        <v>-7.7338555933036464</v>
      </c>
      <c r="F361" s="304">
        <f t="shared" ca="1" si="155"/>
        <v>7.769658721411421</v>
      </c>
      <c r="G361" s="306">
        <f t="shared" ca="1" si="156"/>
        <v>17.448206025276068</v>
      </c>
      <c r="H361" s="307">
        <f t="shared" ca="1" si="157"/>
        <v>-49.60299505507016</v>
      </c>
      <c r="I361" s="304">
        <f t="shared" ca="1" si="158"/>
        <v>52.5822880058846</v>
      </c>
      <c r="J361" s="306">
        <f t="shared" ca="1" si="159"/>
        <v>539.9931288759517</v>
      </c>
      <c r="K361" s="307">
        <f t="shared" ca="1" si="160"/>
        <v>1324.0230858590865</v>
      </c>
      <c r="L361" s="304">
        <f t="shared" ca="1" si="145"/>
        <v>1429.9054902758637</v>
      </c>
      <c r="M361" s="306">
        <f t="shared" ca="1" si="161"/>
        <v>-1.2325570146292717</v>
      </c>
      <c r="N361" s="304">
        <f t="shared" ca="1" si="162"/>
        <v>-70.62031494750174</v>
      </c>
      <c r="P361" s="310">
        <f t="shared" ca="1" si="163"/>
        <v>23</v>
      </c>
      <c r="Q361" s="304">
        <f t="shared" ca="1" si="164"/>
        <v>0</v>
      </c>
      <c r="R361" s="306">
        <f t="shared" ca="1" si="165"/>
        <v>0</v>
      </c>
      <c r="S361" s="307">
        <f t="shared" ca="1" si="166"/>
        <v>2.6792999999999987</v>
      </c>
      <c r="T361" s="304">
        <f t="shared" ca="1" si="146"/>
        <v>26.283932999999987</v>
      </c>
      <c r="U361" s="311">
        <f t="shared" ca="1" si="147"/>
        <v>0</v>
      </c>
      <c r="V361" s="306">
        <f t="shared" ca="1" si="148"/>
        <v>1.0728778349050885</v>
      </c>
      <c r="W361" s="304">
        <f t="shared" ca="1" si="149"/>
        <v>6.0743820241107676</v>
      </c>
      <c r="Y361" s="314" t="str">
        <f t="shared" ca="1" si="167"/>
        <v/>
      </c>
      <c r="Z361" s="315" t="str">
        <f t="shared" ca="1" si="168"/>
        <v/>
      </c>
      <c r="AA361" s="316" t="str">
        <f t="shared" ca="1" si="169"/>
        <v/>
      </c>
      <c r="AC361" s="310" t="e">
        <f t="shared" ca="1" si="170"/>
        <v>#N/A</v>
      </c>
      <c r="AD361" s="323" t="e">
        <f t="shared" ca="1" si="171"/>
        <v>#N/A</v>
      </c>
      <c r="AE361" s="324" t="e">
        <f t="shared" ca="1" si="150"/>
        <v>#N/A</v>
      </c>
      <c r="AG361" s="306">
        <f t="shared" ca="1" si="172"/>
        <v>7.0276960611649937</v>
      </c>
      <c r="AH361" s="304">
        <f t="shared" ca="1" si="173"/>
        <v>-2.205776486089881</v>
      </c>
    </row>
    <row r="362" spans="1:34" x14ac:dyDescent="0.2">
      <c r="A362" s="347">
        <f t="shared" ca="1" si="151"/>
        <v>0.1</v>
      </c>
      <c r="B362" s="304">
        <f t="shared" ca="1" si="152"/>
        <v>20.999999999999989</v>
      </c>
      <c r="D362" s="306">
        <f t="shared" ca="1" si="153"/>
        <v>-0.75230172678930762</v>
      </c>
      <c r="E362" s="307">
        <f t="shared" ca="1" si="154"/>
        <v>-7.671303403926288</v>
      </c>
      <c r="F362" s="304">
        <f t="shared" ca="1" si="155"/>
        <v>7.7081031261407773</v>
      </c>
      <c r="G362" s="306">
        <f t="shared" ca="1" si="156"/>
        <v>17.372975852597136</v>
      </c>
      <c r="H362" s="307">
        <f t="shared" ca="1" si="157"/>
        <v>-50.370125395462786</v>
      </c>
      <c r="I362" s="304">
        <f t="shared" ca="1" si="158"/>
        <v>53.281984031467601</v>
      </c>
      <c r="J362" s="306">
        <f t="shared" ca="1" si="159"/>
        <v>541.73418796984538</v>
      </c>
      <c r="K362" s="307">
        <f t="shared" ca="1" si="160"/>
        <v>1319.0244298365599</v>
      </c>
      <c r="L362" s="304">
        <f t="shared" ca="1" si="145"/>
        <v>1425.9387703968953</v>
      </c>
      <c r="M362" s="306">
        <f t="shared" ca="1" si="161"/>
        <v>-1.2386664717652975</v>
      </c>
      <c r="N362" s="304">
        <f t="shared" ca="1" si="162"/>
        <v>-70.970361056512104</v>
      </c>
      <c r="P362" s="310">
        <f t="shared" ca="1" si="163"/>
        <v>23</v>
      </c>
      <c r="Q362" s="304">
        <f t="shared" ca="1" si="164"/>
        <v>0</v>
      </c>
      <c r="R362" s="306">
        <f t="shared" ca="1" si="165"/>
        <v>0</v>
      </c>
      <c r="S362" s="307">
        <f t="shared" ca="1" si="166"/>
        <v>2.6792999999999987</v>
      </c>
      <c r="T362" s="304">
        <f t="shared" ca="1" si="146"/>
        <v>26.283932999999987</v>
      </c>
      <c r="U362" s="311">
        <f t="shared" ca="1" si="147"/>
        <v>0</v>
      </c>
      <c r="V362" s="306">
        <f t="shared" ca="1" si="148"/>
        <v>1.073416616635757</v>
      </c>
      <c r="W362" s="304">
        <f t="shared" ca="1" si="149"/>
        <v>6.2402495761340644</v>
      </c>
      <c r="Y362" s="314" t="str">
        <f t="shared" ca="1" si="167"/>
        <v/>
      </c>
      <c r="Z362" s="315" t="str">
        <f t="shared" ca="1" si="168"/>
        <v/>
      </c>
      <c r="AA362" s="316" t="str">
        <f t="shared" ca="1" si="169"/>
        <v/>
      </c>
      <c r="AC362" s="310">
        <f t="shared" ca="1" si="170"/>
        <v>20.999999999999989</v>
      </c>
      <c r="AD362" s="323">
        <f t="shared" ca="1" si="171"/>
        <v>541.73418796984538</v>
      </c>
      <c r="AE362" s="324" t="e">
        <f t="shared" ca="1" si="150"/>
        <v>#N/A</v>
      </c>
      <c r="AG362" s="306">
        <f t="shared" ca="1" si="172"/>
        <v>6.9870164122107425</v>
      </c>
      <c r="AH362" s="304">
        <f t="shared" ca="1" si="173"/>
        <v>-2.2671526234877657</v>
      </c>
    </row>
    <row r="363" spans="1:34" x14ac:dyDescent="0.2">
      <c r="A363" s="347">
        <f t="shared" ca="1" si="151"/>
        <v>0.1</v>
      </c>
      <c r="B363" s="304">
        <f t="shared" ca="1" si="152"/>
        <v>21.099999999999991</v>
      </c>
      <c r="D363" s="306">
        <f t="shared" ca="1" si="153"/>
        <v>-0.75940673300011818</v>
      </c>
      <c r="E363" s="307">
        <f t="shared" ca="1" si="154"/>
        <v>-7.6082233618510227</v>
      </c>
      <c r="F363" s="304">
        <f t="shared" ca="1" si="155"/>
        <v>7.646029120395867</v>
      </c>
      <c r="G363" s="306">
        <f t="shared" ca="1" si="156"/>
        <v>17.297035179297126</v>
      </c>
      <c r="H363" s="307">
        <f t="shared" ca="1" si="157"/>
        <v>-51.130947731647886</v>
      </c>
      <c r="I363" s="304">
        <f t="shared" ca="1" si="158"/>
        <v>53.977414183437411</v>
      </c>
      <c r="J363" s="306">
        <f t="shared" ca="1" si="159"/>
        <v>543.4676885214401</v>
      </c>
      <c r="K363" s="307">
        <f t="shared" ca="1" si="160"/>
        <v>1313.9493761802044</v>
      </c>
      <c r="L363" s="304">
        <f t="shared" ca="1" si="145"/>
        <v>1421.9072021869729</v>
      </c>
      <c r="M363" s="306">
        <f t="shared" ca="1" si="161"/>
        <v>-1.2445923578894451</v>
      </c>
      <c r="N363" s="304">
        <f t="shared" ca="1" si="162"/>
        <v>-71.309889321300886</v>
      </c>
      <c r="P363" s="310">
        <f t="shared" ca="1" si="163"/>
        <v>23</v>
      </c>
      <c r="Q363" s="304">
        <f t="shared" ca="1" si="164"/>
        <v>0</v>
      </c>
      <c r="R363" s="306">
        <f t="shared" ca="1" si="165"/>
        <v>0</v>
      </c>
      <c r="S363" s="307">
        <f t="shared" ca="1" si="166"/>
        <v>2.6792999999999987</v>
      </c>
      <c r="T363" s="304">
        <f t="shared" ca="1" si="146"/>
        <v>26.283932999999987</v>
      </c>
      <c r="U363" s="311">
        <f t="shared" ca="1" si="147"/>
        <v>0</v>
      </c>
      <c r="V363" s="306">
        <f t="shared" ca="1" si="148"/>
        <v>1.0739638914485201</v>
      </c>
      <c r="W363" s="304">
        <f t="shared" ca="1" si="149"/>
        <v>6.407471756212435</v>
      </c>
      <c r="Y363" s="314" t="str">
        <f t="shared" ca="1" si="167"/>
        <v/>
      </c>
      <c r="Z363" s="315" t="str">
        <f t="shared" ca="1" si="168"/>
        <v/>
      </c>
      <c r="AA363" s="316" t="str">
        <f t="shared" ca="1" si="169"/>
        <v/>
      </c>
      <c r="AC363" s="310" t="e">
        <f t="shared" ca="1" si="170"/>
        <v>#N/A</v>
      </c>
      <c r="AD363" s="323" t="e">
        <f t="shared" ca="1" si="171"/>
        <v>#N/A</v>
      </c>
      <c r="AE363" s="324" t="e">
        <f t="shared" ca="1" si="150"/>
        <v>#N/A</v>
      </c>
      <c r="AG363" s="306">
        <f t="shared" ca="1" si="172"/>
        <v>6.9448241589479416</v>
      </c>
      <c r="AH363" s="304">
        <f t="shared" ca="1" si="173"/>
        <v>-2.3290596708595781</v>
      </c>
    </row>
    <row r="364" spans="1:34" x14ac:dyDescent="0.2">
      <c r="A364" s="347">
        <f t="shared" ca="1" si="151"/>
        <v>0.1</v>
      </c>
      <c r="B364" s="304">
        <f t="shared" ca="1" si="152"/>
        <v>21.199999999999992</v>
      </c>
      <c r="D364" s="306">
        <f t="shared" ca="1" si="153"/>
        <v>-0.76634609635384265</v>
      </c>
      <c r="E364" s="307">
        <f t="shared" ca="1" si="154"/>
        <v>-7.5446405444142153</v>
      </c>
      <c r="F364" s="304">
        <f t="shared" ca="1" si="155"/>
        <v>7.5834614315506084</v>
      </c>
      <c r="G364" s="306">
        <f t="shared" ca="1" si="156"/>
        <v>17.220400569661741</v>
      </c>
      <c r="H364" s="307">
        <f t="shared" ca="1" si="157"/>
        <v>-51.885411786089307</v>
      </c>
      <c r="I364" s="304">
        <f t="shared" ca="1" si="158"/>
        <v>54.668438353328348</v>
      </c>
      <c r="J364" s="306">
        <f t="shared" ca="1" si="159"/>
        <v>545.1935603088881</v>
      </c>
      <c r="K364" s="307">
        <f t="shared" ca="1" si="160"/>
        <v>1308.7985582043175</v>
      </c>
      <c r="L364" s="304">
        <f t="shared" ca="1" si="145"/>
        <v>1417.8115827429192</v>
      </c>
      <c r="M364" s="306">
        <f t="shared" ca="1" si="161"/>
        <v>-1.2503427085064234</v>
      </c>
      <c r="N364" s="304">
        <f t="shared" ca="1" si="162"/>
        <v>-71.639360142374201</v>
      </c>
      <c r="P364" s="310">
        <f t="shared" ca="1" si="163"/>
        <v>23</v>
      </c>
      <c r="Q364" s="304">
        <f t="shared" ca="1" si="164"/>
        <v>0</v>
      </c>
      <c r="R364" s="306">
        <f t="shared" ca="1" si="165"/>
        <v>0</v>
      </c>
      <c r="S364" s="307">
        <f t="shared" ca="1" si="166"/>
        <v>2.6792999999999987</v>
      </c>
      <c r="T364" s="304">
        <f t="shared" ca="1" si="146"/>
        <v>26.283932999999987</v>
      </c>
      <c r="U364" s="311">
        <f t="shared" ca="1" si="147"/>
        <v>0</v>
      </c>
      <c r="V364" s="306">
        <f t="shared" ca="1" si="148"/>
        <v>1.0745196029545274</v>
      </c>
      <c r="W364" s="304">
        <f t="shared" ca="1" si="149"/>
        <v>6.5759809825333866</v>
      </c>
      <c r="Y364" s="314" t="str">
        <f t="shared" ca="1" si="167"/>
        <v/>
      </c>
      <c r="Z364" s="315" t="str">
        <f t="shared" ca="1" si="168"/>
        <v/>
      </c>
      <c r="AA364" s="316" t="str">
        <f t="shared" ca="1" si="169"/>
        <v/>
      </c>
      <c r="AC364" s="310" t="e">
        <f t="shared" ca="1" si="170"/>
        <v>#N/A</v>
      </c>
      <c r="AD364" s="323" t="e">
        <f t="shared" ca="1" si="171"/>
        <v>#N/A</v>
      </c>
      <c r="AE364" s="324" t="e">
        <f t="shared" ca="1" si="150"/>
        <v>#N/A</v>
      </c>
      <c r="AG364" s="306">
        <f t="shared" ca="1" si="172"/>
        <v>6.9012032454245844</v>
      </c>
      <c r="AH364" s="304">
        <f t="shared" ca="1" si="173"/>
        <v>-2.3914723085180598</v>
      </c>
    </row>
    <row r="365" spans="1:34" x14ac:dyDescent="0.2">
      <c r="A365" s="347">
        <f t="shared" ca="1" si="151"/>
        <v>0.1</v>
      </c>
      <c r="B365" s="304">
        <f t="shared" ca="1" si="152"/>
        <v>21.299999999999994</v>
      </c>
      <c r="D365" s="306">
        <f t="shared" ca="1" si="153"/>
        <v>-0.7731180019667413</v>
      </c>
      <c r="E365" s="307">
        <f t="shared" ca="1" si="154"/>
        <v>-7.4805799769865109</v>
      </c>
      <c r="F365" s="304">
        <f t="shared" ca="1" si="155"/>
        <v>7.5204247378094644</v>
      </c>
      <c r="G365" s="306">
        <f t="shared" ca="1" si="156"/>
        <v>17.143088769465066</v>
      </c>
      <c r="H365" s="307">
        <f t="shared" ca="1" si="157"/>
        <v>-52.633469783787959</v>
      </c>
      <c r="I365" s="304">
        <f t="shared" ca="1" si="158"/>
        <v>55.35492420768616</v>
      </c>
      <c r="J365" s="306">
        <f t="shared" ca="1" si="159"/>
        <v>546.91173477584448</v>
      </c>
      <c r="K365" s="307">
        <f t="shared" ca="1" si="160"/>
        <v>1303.5726141258235</v>
      </c>
      <c r="L365" s="304">
        <f t="shared" ca="1" si="145"/>
        <v>1413.6527175846113</v>
      </c>
      <c r="M365" s="306">
        <f t="shared" ca="1" si="161"/>
        <v>-1.2559251166286836</v>
      </c>
      <c r="N365" s="304">
        <f t="shared" ca="1" si="162"/>
        <v>-71.959208567299257</v>
      </c>
      <c r="P365" s="310">
        <f t="shared" ca="1" si="163"/>
        <v>23</v>
      </c>
      <c r="Q365" s="304">
        <f t="shared" ca="1" si="164"/>
        <v>0</v>
      </c>
      <c r="R365" s="306">
        <f t="shared" ca="1" si="165"/>
        <v>0</v>
      </c>
      <c r="S365" s="307">
        <f t="shared" ca="1" si="166"/>
        <v>2.6792999999999987</v>
      </c>
      <c r="T365" s="304">
        <f t="shared" ca="1" si="146"/>
        <v>26.283932999999987</v>
      </c>
      <c r="U365" s="311">
        <f t="shared" ca="1" si="147"/>
        <v>0</v>
      </c>
      <c r="V365" s="306">
        <f t="shared" ca="1" si="148"/>
        <v>1.0750836942959241</v>
      </c>
      <c r="W365" s="304">
        <f t="shared" ca="1" si="149"/>
        <v>6.7457099773941103</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6.8562333608422117</v>
      </c>
      <c r="AH365" s="304">
        <f t="shared" ca="1" si="173"/>
        <v>-2.4543653127807223</v>
      </c>
    </row>
    <row r="366" spans="1:34" x14ac:dyDescent="0.2">
      <c r="A366" s="347">
        <f t="shared" ca="1" si="151"/>
        <v>0.1</v>
      </c>
      <c r="B366" s="304">
        <f t="shared" ca="1" si="152"/>
        <v>21.399999999999995</v>
      </c>
      <c r="D366" s="306">
        <f t="shared" ca="1" si="153"/>
        <v>-0.7797208270780055</v>
      </c>
      <c r="E366" s="307">
        <f t="shared" ca="1" si="154"/>
        <v>-7.4160666112340881</v>
      </c>
      <c r="F366" s="304">
        <f t="shared" ca="1" si="155"/>
        <v>7.4569436467255308</v>
      </c>
      <c r="G366" s="306">
        <f t="shared" ca="1" si="156"/>
        <v>17.065116686757264</v>
      </c>
      <c r="H366" s="307">
        <f t="shared" ca="1" si="157"/>
        <v>-53.375076444911365</v>
      </c>
      <c r="I366" s="304">
        <f t="shared" ca="1" si="158"/>
        <v>56.036746809863736</v>
      </c>
      <c r="J366" s="306">
        <f t="shared" ca="1" si="159"/>
        <v>548.62214504865563</v>
      </c>
      <c r="K366" s="307">
        <f t="shared" ca="1" si="160"/>
        <v>1298.2721868143885</v>
      </c>
      <c r="L366" s="304">
        <f t="shared" ca="1" si="145"/>
        <v>1409.4314205003386</v>
      </c>
      <c r="M366" s="306">
        <f t="shared" ca="1" si="161"/>
        <v>-1.2613467610875155</v>
      </c>
      <c r="N366" s="304">
        <f t="shared" ca="1" si="162"/>
        <v>-72.269845912810823</v>
      </c>
      <c r="P366" s="310">
        <f t="shared" ca="1" si="163"/>
        <v>23</v>
      </c>
      <c r="Q366" s="304">
        <f t="shared" ca="1" si="164"/>
        <v>0</v>
      </c>
      <c r="R366" s="306">
        <f t="shared" ca="1" si="165"/>
        <v>0</v>
      </c>
      <c r="S366" s="307">
        <f t="shared" ca="1" si="166"/>
        <v>2.6792999999999987</v>
      </c>
      <c r="T366" s="304">
        <f t="shared" ca="1" si="146"/>
        <v>26.283932999999987</v>
      </c>
      <c r="U366" s="311">
        <f t="shared" ca="1" si="147"/>
        <v>0</v>
      </c>
      <c r="V366" s="306">
        <f t="shared" ca="1" si="148"/>
        <v>1.075656108167101</v>
      </c>
      <c r="W366" s="304">
        <f t="shared" ca="1" si="149"/>
        <v>6.9165918129310624</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6.8099902572101509</v>
      </c>
      <c r="AH366" s="304">
        <f t="shared" ca="1" si="173"/>
        <v>-2.5177135734684857</v>
      </c>
    </row>
    <row r="367" spans="1:34" x14ac:dyDescent="0.2">
      <c r="A367" s="347">
        <f t="shared" ca="1" si="151"/>
        <v>0.1</v>
      </c>
      <c r="B367" s="304">
        <f t="shared" ca="1" si="152"/>
        <v>21.499999999999996</v>
      </c>
      <c r="D367" s="306">
        <f t="shared" ca="1" si="153"/>
        <v>-0.78615313357109851</v>
      </c>
      <c r="E367" s="307">
        <f t="shared" ca="1" si="154"/>
        <v>-7.3511253042104183</v>
      </c>
      <c r="F367" s="304">
        <f t="shared" ca="1" si="155"/>
        <v>7.3930426745438425</v>
      </c>
      <c r="G367" s="306">
        <f t="shared" ca="1" si="156"/>
        <v>16.986501373400156</v>
      </c>
      <c r="H367" s="307">
        <f t="shared" ca="1" si="157"/>
        <v>-54.110188975332406</v>
      </c>
      <c r="I367" s="304">
        <f t="shared" ca="1" si="158"/>
        <v>56.713788269297531</v>
      </c>
      <c r="J367" s="306">
        <f t="shared" ca="1" si="159"/>
        <v>550.32472595166348</v>
      </c>
      <c r="K367" s="307">
        <f t="shared" ca="1" si="160"/>
        <v>1292.8979235433762</v>
      </c>
      <c r="L367" s="304">
        <f t="shared" ca="1" si="145"/>
        <v>1405.1485133951312</v>
      </c>
      <c r="M367" s="306">
        <f t="shared" ca="1" si="161"/>
        <v>-1.266614432856263</v>
      </c>
      <c r="N367" s="304">
        <f t="shared" ca="1" si="162"/>
        <v>-72.571661273020254</v>
      </c>
      <c r="P367" s="310">
        <f t="shared" ca="1" si="163"/>
        <v>23</v>
      </c>
      <c r="Q367" s="304">
        <f t="shared" ca="1" si="164"/>
        <v>0</v>
      </c>
      <c r="R367" s="306">
        <f t="shared" ca="1" si="165"/>
        <v>0</v>
      </c>
      <c r="S367" s="307">
        <f t="shared" ca="1" si="166"/>
        <v>2.6792999999999987</v>
      </c>
      <c r="T367" s="304">
        <f t="shared" ca="1" si="146"/>
        <v>26.283932999999987</v>
      </c>
      <c r="U367" s="311">
        <f t="shared" ca="1" si="147"/>
        <v>0</v>
      </c>
      <c r="V367" s="306">
        <f t="shared" ca="1" si="148"/>
        <v>1.0762367868359111</v>
      </c>
      <c r="W367" s="304">
        <f t="shared" ca="1" si="149"/>
        <v>7.0885599556503109</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6.762546037801016</v>
      </c>
      <c r="AH367" s="304">
        <f t="shared" ca="1" si="173"/>
        <v>-2.581492110973413</v>
      </c>
    </row>
    <row r="368" spans="1:34" x14ac:dyDescent="0.2">
      <c r="A368" s="347">
        <f t="shared" ca="1" si="151"/>
        <v>0.1</v>
      </c>
      <c r="B368" s="304">
        <f t="shared" ca="1" si="152"/>
        <v>21.599999999999998</v>
      </c>
      <c r="D368" s="306">
        <f t="shared" ca="1" si="153"/>
        <v>-0.79241366088725351</v>
      </c>
      <c r="E368" s="307">
        <f t="shared" ca="1" si="154"/>
        <v>-7.2857807982526595</v>
      </c>
      <c r="F368" s="304">
        <f t="shared" ca="1" si="155"/>
        <v>7.3287462263437595</v>
      </c>
      <c r="G368" s="306">
        <f t="shared" ca="1" si="156"/>
        <v>16.907260007311429</v>
      </c>
      <c r="H368" s="307">
        <f t="shared" ca="1" si="157"/>
        <v>-54.838767055157675</v>
      </c>
      <c r="I368" s="304">
        <f t="shared" ca="1" si="158"/>
        <v>57.385937415752643</v>
      </c>
      <c r="J368" s="306">
        <f t="shared" ca="1" si="159"/>
        <v>552.01941402069906</v>
      </c>
      <c r="K368" s="307">
        <f t="shared" ca="1" si="160"/>
        <v>1287.4504757418517</v>
      </c>
      <c r="L368" s="304">
        <f t="shared" ca="1" si="145"/>
        <v>1400.8048261423417</v>
      </c>
      <c r="M368" s="306">
        <f t="shared" ca="1" si="161"/>
        <v>-1.2717345595292295</v>
      </c>
      <c r="N368" s="304">
        <f t="shared" ca="1" si="162"/>
        <v>-72.865022921953596</v>
      </c>
      <c r="P368" s="310">
        <f t="shared" ca="1" si="163"/>
        <v>23</v>
      </c>
      <c r="Q368" s="304">
        <f t="shared" ca="1" si="164"/>
        <v>0</v>
      </c>
      <c r="R368" s="306">
        <f t="shared" ca="1" si="165"/>
        <v>0</v>
      </c>
      <c r="S368" s="307">
        <f t="shared" ca="1" si="166"/>
        <v>2.6792999999999987</v>
      </c>
      <c r="T368" s="304">
        <f t="shared" ca="1" si="146"/>
        <v>26.283932999999987</v>
      </c>
      <c r="U368" s="311">
        <f t="shared" ca="1" si="147"/>
        <v>0</v>
      </c>
      <c r="V368" s="306">
        <f t="shared" ca="1" si="148"/>
        <v>1.0768256721648295</v>
      </c>
      <c r="W368" s="304">
        <f t="shared" ca="1" si="149"/>
        <v>7.2615483097177576</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6.713969419205112</v>
      </c>
      <c r="AH368" s="304">
        <f t="shared" ca="1" si="173"/>
        <v>-2.6456760928788543</v>
      </c>
    </row>
    <row r="369" spans="1:34" x14ac:dyDescent="0.2">
      <c r="A369" s="347">
        <f t="shared" ca="1" si="151"/>
        <v>0.1</v>
      </c>
      <c r="B369" s="304">
        <f t="shared" ca="1" si="152"/>
        <v>21.7</v>
      </c>
      <c r="D369" s="306">
        <f t="shared" ca="1" si="153"/>
        <v>-0.79850131929328483</v>
      </c>
      <c r="E369" s="307">
        <f t="shared" ca="1" si="154"/>
        <v>-7.2200577016604504</v>
      </c>
      <c r="F369" s="304">
        <f t="shared" ca="1" si="155"/>
        <v>7.2640785769579548</v>
      </c>
      <c r="G369" s="306">
        <f t="shared" ca="1" si="156"/>
        <v>16.827409875382099</v>
      </c>
      <c r="H369" s="307">
        <f t="shared" ca="1" si="157"/>
        <v>-55.560772825323717</v>
      </c>
      <c r="I369" s="304">
        <f t="shared" ca="1" si="158"/>
        <v>58.05308949626486</v>
      </c>
      <c r="J369" s="306">
        <f t="shared" ca="1" si="159"/>
        <v>553.70614751483379</v>
      </c>
      <c r="K369" s="307">
        <f t="shared" ca="1" si="160"/>
        <v>1281.9304987478276</v>
      </c>
      <c r="L369" s="304">
        <f t="shared" ca="1" si="145"/>
        <v>1396.4011964387503</v>
      </c>
      <c r="M369" s="306">
        <f t="shared" ca="1" si="161"/>
        <v>-1.2767132280904041</v>
      </c>
      <c r="N369" s="304">
        <f t="shared" ca="1" si="162"/>
        <v>-73.150279618103369</v>
      </c>
      <c r="P369" s="310">
        <f t="shared" ca="1" si="163"/>
        <v>23</v>
      </c>
      <c r="Q369" s="304">
        <f t="shared" ca="1" si="164"/>
        <v>0</v>
      </c>
      <c r="R369" s="306">
        <f t="shared" ca="1" si="165"/>
        <v>0</v>
      </c>
      <c r="S369" s="307">
        <f t="shared" ca="1" si="166"/>
        <v>2.6792999999999987</v>
      </c>
      <c r="T369" s="304">
        <f t="shared" ca="1" si="146"/>
        <v>26.283932999999987</v>
      </c>
      <c r="U369" s="311">
        <f t="shared" ca="1" si="147"/>
        <v>0</v>
      </c>
      <c r="V369" s="306">
        <f t="shared" ca="1" si="148"/>
        <v>1.0774227056320398</v>
      </c>
      <c r="W369" s="304">
        <f t="shared" ca="1" si="149"/>
        <v>7.4354912589719984</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6.6643259695135866</v>
      </c>
      <c r="AH369" s="304">
        <f t="shared" ca="1" si="173"/>
        <v>-2.7102408501167323</v>
      </c>
    </row>
    <row r="370" spans="1:34" x14ac:dyDescent="0.2">
      <c r="A370" s="347">
        <f t="shared" ca="1" si="151"/>
        <v>0.1</v>
      </c>
      <c r="B370" s="304">
        <f t="shared" ca="1" si="152"/>
        <v>21.8</v>
      </c>
      <c r="D370" s="306">
        <f t="shared" ca="1" si="153"/>
        <v>-0.80441518346986496</v>
      </c>
      <c r="E370" s="307">
        <f t="shared" ca="1" si="154"/>
        <v>-7.1539804701378387</v>
      </c>
      <c r="F370" s="304">
        <f t="shared" ca="1" si="155"/>
        <v>7.1990638526485142</v>
      </c>
      <c r="G370" s="306">
        <f t="shared" ca="1" si="156"/>
        <v>16.746968357035112</v>
      </c>
      <c r="H370" s="307">
        <f t="shared" ca="1" si="157"/>
        <v>-56.276170872337502</v>
      </c>
      <c r="I370" s="304">
        <f t="shared" ca="1" si="158"/>
        <v>58.715145892725694</v>
      </c>
      <c r="J370" s="306">
        <f t="shared" ca="1" si="159"/>
        <v>555.38486642645466</v>
      </c>
      <c r="K370" s="307">
        <f t="shared" ca="1" si="160"/>
        <v>1276.3386515629445</v>
      </c>
      <c r="L370" s="304">
        <f t="shared" ca="1" si="145"/>
        <v>1391.9384696634568</v>
      </c>
      <c r="M370" s="306">
        <f t="shared" ca="1" si="161"/>
        <v>-1.2815562060970147</v>
      </c>
      <c r="N370" s="304">
        <f t="shared" ca="1" si="162"/>
        <v>-73.427761818156839</v>
      </c>
      <c r="P370" s="310">
        <f t="shared" ca="1" si="163"/>
        <v>23</v>
      </c>
      <c r="Q370" s="304">
        <f t="shared" ca="1" si="164"/>
        <v>0</v>
      </c>
      <c r="R370" s="306">
        <f t="shared" ca="1" si="165"/>
        <v>0</v>
      </c>
      <c r="S370" s="307">
        <f t="shared" ca="1" si="166"/>
        <v>2.6792999999999987</v>
      </c>
      <c r="T370" s="304">
        <f t="shared" ca="1" si="146"/>
        <v>26.283932999999987</v>
      </c>
      <c r="U370" s="311">
        <f t="shared" ca="1" si="147"/>
        <v>0</v>
      </c>
      <c r="V370" s="306">
        <f t="shared" ca="1" si="148"/>
        <v>1.0780278283524358</v>
      </c>
      <c r="W370" s="304">
        <f t="shared" ca="1" si="149"/>
        <v>7.6103237076263586</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6.6136783249168136</v>
      </c>
      <c r="AH370" s="304">
        <f t="shared" ca="1" si="173"/>
        <v>-2.7751618926480806</v>
      </c>
    </row>
    <row r="371" spans="1:34" x14ac:dyDescent="0.2">
      <c r="A371" s="347">
        <f t="shared" ca="1" si="151"/>
        <v>0.1</v>
      </c>
      <c r="B371" s="304">
        <f t="shared" ca="1" si="152"/>
        <v>21.900000000000002</v>
      </c>
      <c r="D371" s="306">
        <f t="shared" ca="1" si="153"/>
        <v>-0.8101544863900223</v>
      </c>
      <c r="E371" s="307">
        <f t="shared" ca="1" si="154"/>
        <v>-7.0875733889815855</v>
      </c>
      <c r="F371" s="304">
        <f t="shared" ca="1" si="155"/>
        <v>7.133726013523213</v>
      </c>
      <c r="G371" s="306">
        <f t="shared" ca="1" si="156"/>
        <v>16.665952908396108</v>
      </c>
      <c r="H371" s="307">
        <f t="shared" ca="1" si="157"/>
        <v>-56.984928211235662</v>
      </c>
      <c r="I371" s="304">
        <f t="shared" ca="1" si="158"/>
        <v>59.372013858252764</v>
      </c>
      <c r="J371" s="306">
        <f t="shared" ca="1" si="159"/>
        <v>557.0555124897262</v>
      </c>
      <c r="K371" s="307">
        <f t="shared" ca="1" si="160"/>
        <v>1270.6755966087658</v>
      </c>
      <c r="L371" s="304">
        <f t="shared" ca="1" si="145"/>
        <v>1387.4174987408203</v>
      </c>
      <c r="M371" s="306">
        <f t="shared" ca="1" si="161"/>
        <v>-1.2862689613941916</v>
      </c>
      <c r="N371" s="304">
        <f t="shared" ca="1" si="162"/>
        <v>-73.697782806562998</v>
      </c>
      <c r="P371" s="310">
        <f t="shared" ca="1" si="163"/>
        <v>23</v>
      </c>
      <c r="Q371" s="304">
        <f t="shared" ca="1" si="164"/>
        <v>0</v>
      </c>
      <c r="R371" s="306">
        <f t="shared" ca="1" si="165"/>
        <v>0</v>
      </c>
      <c r="S371" s="307">
        <f t="shared" ca="1" si="166"/>
        <v>2.6792999999999987</v>
      </c>
      <c r="T371" s="304">
        <f t="shared" ca="1" si="146"/>
        <v>26.283932999999987</v>
      </c>
      <c r="U371" s="311">
        <f t="shared" ca="1" si="147"/>
        <v>0</v>
      </c>
      <c r="V371" s="306">
        <f t="shared" ca="1" si="148"/>
        <v>1.0786409810985123</v>
      </c>
      <c r="W371" s="304">
        <f t="shared" ca="1" si="149"/>
        <v>7.7859811196299962</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6.5620863867837329</v>
      </c>
      <c r="AH371" s="304">
        <f t="shared" ca="1" si="173"/>
        <v>-2.8404149246543358</v>
      </c>
    </row>
    <row r="372" spans="1:34" x14ac:dyDescent="0.2">
      <c r="A372" s="347">
        <f t="shared" ca="1" si="151"/>
        <v>0.1</v>
      </c>
      <c r="B372" s="304">
        <f t="shared" ca="1" si="152"/>
        <v>22.000000000000004</v>
      </c>
      <c r="D372" s="306">
        <f t="shared" ca="1" si="153"/>
        <v>-0.81571861346085073</v>
      </c>
      <c r="E372" s="307">
        <f t="shared" ca="1" si="154"/>
        <v>-7.0208605560011295</v>
      </c>
      <c r="F372" s="304">
        <f t="shared" ca="1" si="155"/>
        <v>7.0680888366770676</v>
      </c>
      <c r="G372" s="306">
        <f t="shared" ca="1" si="156"/>
        <v>16.584381047050023</v>
      </c>
      <c r="H372" s="307">
        <f t="shared" ca="1" si="157"/>
        <v>-57.687014266835774</v>
      </c>
      <c r="I372" s="304">
        <f t="shared" ca="1" si="158"/>
        <v>60.023606270665425</v>
      </c>
      <c r="J372" s="306">
        <f t="shared" ca="1" si="159"/>
        <v>558.71802918749847</v>
      </c>
      <c r="K372" s="307">
        <f t="shared" ca="1" si="160"/>
        <v>1264.9419994848622</v>
      </c>
      <c r="L372" s="304">
        <f t="shared" ca="1" si="145"/>
        <v>1382.8391440076909</v>
      </c>
      <c r="M372" s="306">
        <f t="shared" ca="1" si="161"/>
        <v>-1.2908566804687336</v>
      </c>
      <c r="N372" s="304">
        <f t="shared" ca="1" si="162"/>
        <v>-73.960639747125924</v>
      </c>
      <c r="P372" s="310">
        <f t="shared" ca="1" si="163"/>
        <v>23</v>
      </c>
      <c r="Q372" s="304">
        <f t="shared" ca="1" si="164"/>
        <v>0</v>
      </c>
      <c r="R372" s="306">
        <f t="shared" ca="1" si="165"/>
        <v>0</v>
      </c>
      <c r="S372" s="307">
        <f t="shared" ca="1" si="166"/>
        <v>2.6792999999999987</v>
      </c>
      <c r="T372" s="304">
        <f t="shared" ca="1" si="146"/>
        <v>26.283932999999987</v>
      </c>
      <c r="U372" s="311">
        <f t="shared" ca="1" si="147"/>
        <v>0</v>
      </c>
      <c r="V372" s="306">
        <f t="shared" ca="1" si="148"/>
        <v>1.0792621043211412</v>
      </c>
      <c r="W372" s="304">
        <f t="shared" ca="1" si="149"/>
        <v>7.9623995566617261</v>
      </c>
      <c r="Y372" s="314" t="str">
        <f t="shared" ca="1" si="167"/>
        <v/>
      </c>
      <c r="Z372" s="315" t="str">
        <f t="shared" ca="1" si="168"/>
        <v/>
      </c>
      <c r="AA372" s="316" t="str">
        <f t="shared" ca="1" si="169"/>
        <v/>
      </c>
      <c r="AC372" s="310">
        <f t="shared" ca="1" si="170"/>
        <v>22.000000000000004</v>
      </c>
      <c r="AD372" s="323">
        <f t="shared" ca="1" si="171"/>
        <v>558.71802918749847</v>
      </c>
      <c r="AE372" s="324" t="e">
        <f t="shared" ca="1" si="150"/>
        <v>#N/A</v>
      </c>
      <c r="AG372" s="306">
        <f t="shared" ca="1" si="172"/>
        <v>6.5096075010879471</v>
      </c>
      <c r="AH372" s="304">
        <f t="shared" ca="1" si="173"/>
        <v>-2.9059758592281568</v>
      </c>
    </row>
    <row r="373" spans="1:34" x14ac:dyDescent="0.2">
      <c r="A373" s="347">
        <f t="shared" ca="1" si="151"/>
        <v>0.1</v>
      </c>
      <c r="B373" s="304">
        <f t="shared" ca="1" si="152"/>
        <v>22.100000000000005</v>
      </c>
      <c r="D373" s="306">
        <f t="shared" ca="1" si="153"/>
        <v>-0.82110709690434824</v>
      </c>
      <c r="E373" s="307">
        <f t="shared" ca="1" si="154"/>
        <v>-6.9538658651570984</v>
      </c>
      <c r="F373" s="304">
        <f t="shared" ca="1" si="155"/>
        <v>7.0021759000459118</v>
      </c>
      <c r="G373" s="306">
        <f t="shared" ca="1" si="156"/>
        <v>16.502270337359587</v>
      </c>
      <c r="H373" s="307">
        <f t="shared" ca="1" si="157"/>
        <v>-58.382400853351484</v>
      </c>
      <c r="I373" s="304">
        <f t="shared" ca="1" si="158"/>
        <v>60.669841401545746</v>
      </c>
      <c r="J373" s="306">
        <f t="shared" ca="1" si="159"/>
        <v>560.37236175671899</v>
      </c>
      <c r="K373" s="307">
        <f t="shared" ca="1" si="160"/>
        <v>1259.1385287288529</v>
      </c>
      <c r="L373" s="304">
        <f t="shared" ca="1" si="145"/>
        <v>1378.2042730851852</v>
      </c>
      <c r="M373" s="306">
        <f t="shared" ca="1" si="161"/>
        <v>-1.2953242855421367</v>
      </c>
      <c r="N373" s="304">
        <f t="shared" ca="1" si="162"/>
        <v>-74.216614662363156</v>
      </c>
      <c r="P373" s="310">
        <f t="shared" ca="1" si="163"/>
        <v>23</v>
      </c>
      <c r="Q373" s="304">
        <f t="shared" ca="1" si="164"/>
        <v>0</v>
      </c>
      <c r="R373" s="306">
        <f t="shared" ca="1" si="165"/>
        <v>0</v>
      </c>
      <c r="S373" s="307">
        <f t="shared" ca="1" si="166"/>
        <v>2.6792999999999987</v>
      </c>
      <c r="T373" s="304">
        <f t="shared" ca="1" si="146"/>
        <v>26.283932999999987</v>
      </c>
      <c r="U373" s="311">
        <f t="shared" ca="1" si="147"/>
        <v>0</v>
      </c>
      <c r="V373" s="306">
        <f t="shared" ca="1" si="148"/>
        <v>1.0798911381702094</v>
      </c>
      <c r="W373" s="304">
        <f t="shared" ca="1" si="149"/>
        <v>8.1395157147333865</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6.4562966218654827</v>
      </c>
      <c r="AH373" s="304">
        <f t="shared" ca="1" si="173"/>
        <v>-2.9718208325539246</v>
      </c>
    </row>
    <row r="374" spans="1:34" x14ac:dyDescent="0.2">
      <c r="A374" s="347">
        <f t="shared" ca="1" si="151"/>
        <v>0.1</v>
      </c>
      <c r="B374" s="304">
        <f t="shared" ca="1" si="152"/>
        <v>22.200000000000006</v>
      </c>
      <c r="D374" s="306">
        <f t="shared" ca="1" si="153"/>
        <v>-0.82631961035591883</v>
      </c>
      <c r="E374" s="307">
        <f t="shared" ca="1" si="154"/>
        <v>-6.8866129909065972</v>
      </c>
      <c r="F374" s="304">
        <f t="shared" ca="1" si="155"/>
        <v>6.9360105669601078</v>
      </c>
      <c r="G374" s="306">
        <f t="shared" ca="1" si="156"/>
        <v>16.419638376323995</v>
      </c>
      <c r="H374" s="307">
        <f t="shared" ca="1" si="157"/>
        <v>-59.071062152442146</v>
      </c>
      <c r="I374" s="304">
        <f t="shared" ca="1" si="158"/>
        <v>61.310642699509636</v>
      </c>
      <c r="J374" s="306">
        <f t="shared" ca="1" si="159"/>
        <v>562.01845719240316</v>
      </c>
      <c r="K374" s="307">
        <f t="shared" ca="1" si="160"/>
        <v>1253.2658555785631</v>
      </c>
      <c r="L374" s="304">
        <f t="shared" ca="1" si="145"/>
        <v>1373.5137607552379</v>
      </c>
      <c r="M374" s="306">
        <f t="shared" ca="1" si="161"/>
        <v>-1.2996764504956813</v>
      </c>
      <c r="N374" s="304">
        <f t="shared" ca="1" si="162"/>
        <v>-74.465975345946006</v>
      </c>
      <c r="P374" s="310">
        <f t="shared" ca="1" si="163"/>
        <v>23</v>
      </c>
      <c r="Q374" s="304">
        <f t="shared" ca="1" si="164"/>
        <v>0</v>
      </c>
      <c r="R374" s="306">
        <f t="shared" ca="1" si="165"/>
        <v>0</v>
      </c>
      <c r="S374" s="307">
        <f t="shared" ca="1" si="166"/>
        <v>2.6792999999999987</v>
      </c>
      <c r="T374" s="304">
        <f t="shared" ca="1" si="146"/>
        <v>26.283932999999987</v>
      </c>
      <c r="U374" s="311">
        <f t="shared" ca="1" si="147"/>
        <v>0</v>
      </c>
      <c r="V374" s="306">
        <f t="shared" ca="1" si="148"/>
        <v>1.0805280225151124</v>
      </c>
      <c r="W374" s="304">
        <f t="shared" ca="1" si="149"/>
        <v>8.3172669593831028</v>
      </c>
      <c r="Y374" s="314" t="str">
        <f t="shared" ca="1" si="167"/>
        <v/>
      </c>
      <c r="Z374" s="315" t="str">
        <f t="shared" ca="1" si="168"/>
        <v/>
      </c>
      <c r="AA374" s="316" t="str">
        <f t="shared" ca="1" si="169"/>
        <v/>
      </c>
      <c r="AC374" s="310" t="e">
        <f t="shared" ca="1" si="170"/>
        <v>#N/A</v>
      </c>
      <c r="AD374" s="323" t="e">
        <f t="shared" ca="1" si="171"/>
        <v>#N/A</v>
      </c>
      <c r="AE374" s="324" t="e">
        <f t="shared" ca="1" si="150"/>
        <v>#N/A</v>
      </c>
      <c r="AG374" s="306">
        <f t="shared" ca="1" si="172"/>
        <v>6.4022064602258126</v>
      </c>
      <c r="AH374" s="304">
        <f t="shared" ca="1" si="173"/>
        <v>-3.0379262175692872</v>
      </c>
    </row>
    <row r="375" spans="1:34" x14ac:dyDescent="0.2">
      <c r="A375" s="347">
        <f t="shared" ca="1" si="151"/>
        <v>0.1</v>
      </c>
      <c r="B375" s="304">
        <f t="shared" ca="1" si="152"/>
        <v>22.300000000000008</v>
      </c>
      <c r="D375" s="306">
        <f t="shared" ca="1" si="153"/>
        <v>-0.83135596366143494</v>
      </c>
      <c r="E375" s="307">
        <f t="shared" ca="1" si="154"/>
        <v>-6.8191253732445167</v>
      </c>
      <c r="F375" s="304">
        <f t="shared" ca="1" si="155"/>
        <v>6.8696159713875273</v>
      </c>
      <c r="G375" s="306">
        <f t="shared" ca="1" si="156"/>
        <v>16.336502779957851</v>
      </c>
      <c r="H375" s="307">
        <f t="shared" ca="1" si="157"/>
        <v>-59.752974689766596</v>
      </c>
      <c r="I375" s="304">
        <f t="shared" ca="1" si="158"/>
        <v>61.945938586443724</v>
      </c>
      <c r="J375" s="306">
        <f t="shared" ca="1" si="159"/>
        <v>563.6562642502173</v>
      </c>
      <c r="K375" s="307">
        <f t="shared" ca="1" si="160"/>
        <v>1247.3246537364528</v>
      </c>
      <c r="L375" s="304">
        <f t="shared" ca="1" si="145"/>
        <v>1368.7684888421682</v>
      </c>
      <c r="M375" s="306">
        <f t="shared" ca="1" si="161"/>
        <v>-1.303917615713478</v>
      </c>
      <c r="N375" s="304">
        <f t="shared" ca="1" si="162"/>
        <v>-74.708976213143444</v>
      </c>
      <c r="P375" s="310">
        <f t="shared" ca="1" si="163"/>
        <v>23</v>
      </c>
      <c r="Q375" s="304">
        <f t="shared" ca="1" si="164"/>
        <v>0</v>
      </c>
      <c r="R375" s="306">
        <f t="shared" ca="1" si="165"/>
        <v>0</v>
      </c>
      <c r="S375" s="307">
        <f t="shared" ca="1" si="166"/>
        <v>2.6792999999999987</v>
      </c>
      <c r="T375" s="304">
        <f t="shared" ca="1" si="146"/>
        <v>26.283932999999987</v>
      </c>
      <c r="U375" s="311">
        <f t="shared" ca="1" si="147"/>
        <v>0</v>
      </c>
      <c r="V375" s="306">
        <f t="shared" ca="1" si="148"/>
        <v>1.0811726969650786</v>
      </c>
      <c r="W375" s="304">
        <f t="shared" ca="1" si="149"/>
        <v>8.4955913594418764</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6.3473876202901636</v>
      </c>
      <c r="AH375" s="304">
        <f t="shared" ca="1" si="173"/>
        <v>-3.104268637100402</v>
      </c>
    </row>
    <row r="376" spans="1:34" x14ac:dyDescent="0.2">
      <c r="A376" s="347">
        <f t="shared" ca="1" si="151"/>
        <v>0.1</v>
      </c>
      <c r="B376" s="304">
        <f t="shared" ca="1" si="152"/>
        <v>22.400000000000009</v>
      </c>
      <c r="D376" s="306">
        <f t="shared" ca="1" si="153"/>
        <v>-0.83621609785587159</v>
      </c>
      <c r="E376" s="307">
        <f t="shared" ca="1" si="154"/>
        <v>-6.7514262034309045</v>
      </c>
      <c r="F376" s="304">
        <f t="shared" ca="1" si="155"/>
        <v>6.8030150038557711</v>
      </c>
      <c r="G376" s="306">
        <f t="shared" ca="1" si="156"/>
        <v>16.252881170172262</v>
      </c>
      <c r="H376" s="307">
        <f t="shared" ca="1" si="157"/>
        <v>-60.428117310109684</v>
      </c>
      <c r="I376" s="304">
        <f t="shared" ca="1" si="158"/>
        <v>62.575662265581478</v>
      </c>
      <c r="J376" s="306">
        <f t="shared" ca="1" si="159"/>
        <v>565.28573344772383</v>
      </c>
      <c r="K376" s="307">
        <f t="shared" ca="1" si="160"/>
        <v>1241.315599136459</v>
      </c>
      <c r="L376" s="304">
        <f t="shared" ca="1" si="145"/>
        <v>1363.9693460994779</v>
      </c>
      <c r="M376" s="306">
        <f t="shared" ca="1" si="161"/>
        <v>-1.308052001922934</v>
      </c>
      <c r="N376" s="304">
        <f t="shared" ca="1" si="162"/>
        <v>-74.945859093822364</v>
      </c>
      <c r="P376" s="310">
        <f t="shared" ca="1" si="163"/>
        <v>23</v>
      </c>
      <c r="Q376" s="304">
        <f t="shared" ca="1" si="164"/>
        <v>0</v>
      </c>
      <c r="R376" s="306">
        <f t="shared" ca="1" si="165"/>
        <v>0</v>
      </c>
      <c r="S376" s="307">
        <f t="shared" ca="1" si="166"/>
        <v>2.6792999999999987</v>
      </c>
      <c r="T376" s="304">
        <f t="shared" ca="1" si="146"/>
        <v>26.283932999999987</v>
      </c>
      <c r="U376" s="311">
        <f t="shared" ca="1" si="147"/>
        <v>0</v>
      </c>
      <c r="V376" s="306">
        <f t="shared" ca="1" si="148"/>
        <v>1.0818251008893274</v>
      </c>
      <c r="W376" s="304">
        <f t="shared" ca="1" si="149"/>
        <v>8.6744277193602652</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6.2918887232981628</v>
      </c>
      <c r="AH376" s="304">
        <f t="shared" ca="1" si="173"/>
        <v>-3.1708249764647038</v>
      </c>
    </row>
    <row r="377" spans="1:34" x14ac:dyDescent="0.2">
      <c r="A377" s="347">
        <f t="shared" ca="1" si="151"/>
        <v>0.1</v>
      </c>
      <c r="B377" s="304">
        <f t="shared" ca="1" si="152"/>
        <v>22.500000000000011</v>
      </c>
      <c r="D377" s="306">
        <f t="shared" ca="1" si="153"/>
        <v>-0.84090008030842878</v>
      </c>
      <c r="E377" s="307">
        <f t="shared" ca="1" si="154"/>
        <v>-6.6835384103949727</v>
      </c>
      <c r="F377" s="304">
        <f t="shared" ca="1" si="155"/>
        <v>6.736230298044128</v>
      </c>
      <c r="G377" s="306">
        <f t="shared" ca="1" si="156"/>
        <v>16.168791162141421</v>
      </c>
      <c r="H377" s="307">
        <f t="shared" ca="1" si="157"/>
        <v>-61.096471151149181</v>
      </c>
      <c r="I377" s="304">
        <f t="shared" ca="1" si="158"/>
        <v>63.19975154039885</v>
      </c>
      <c r="J377" s="306">
        <f t="shared" ca="1" si="159"/>
        <v>566.90681706433952</v>
      </c>
      <c r="K377" s="307">
        <f t="shared" ca="1" si="160"/>
        <v>1235.2393697133962</v>
      </c>
      <c r="L377" s="304">
        <f t="shared" ca="1" si="145"/>
        <v>1359.1172281021122</v>
      </c>
      <c r="M377" s="306">
        <f t="shared" ca="1" si="161"/>
        <v>-1.3120836231061017</v>
      </c>
      <c r="N377" s="304">
        <f t="shared" ca="1" si="162"/>
        <v>-75.176853972213408</v>
      </c>
      <c r="P377" s="310">
        <f t="shared" ca="1" si="163"/>
        <v>23</v>
      </c>
      <c r="Q377" s="304">
        <f t="shared" ca="1" si="164"/>
        <v>0</v>
      </c>
      <c r="R377" s="306">
        <f t="shared" ca="1" si="165"/>
        <v>0</v>
      </c>
      <c r="S377" s="307">
        <f t="shared" ca="1" si="166"/>
        <v>2.6792999999999987</v>
      </c>
      <c r="T377" s="304">
        <f t="shared" ca="1" si="146"/>
        <v>26.283932999999987</v>
      </c>
      <c r="U377" s="311">
        <f t="shared" ca="1" si="147"/>
        <v>0</v>
      </c>
      <c r="V377" s="306">
        <f t="shared" ca="1" si="148"/>
        <v>1.082485173437032</v>
      </c>
      <c r="W377" s="304">
        <f t="shared" ca="1" si="149"/>
        <v>8.8537156100848602</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6.2357565210037844</v>
      </c>
      <c r="AH377" s="304">
        <f t="shared" ca="1" si="173"/>
        <v>-3.2375723955362479</v>
      </c>
    </row>
    <row r="378" spans="1:34" x14ac:dyDescent="0.2">
      <c r="A378" s="347">
        <f t="shared" ca="1" si="151"/>
        <v>0.1</v>
      </c>
      <c r="B378" s="304">
        <f t="shared" ca="1" si="152"/>
        <v>22.600000000000012</v>
      </c>
      <c r="D378" s="306">
        <f t="shared" ca="1" si="153"/>
        <v>-0.84540810002077482</v>
      </c>
      <c r="E378" s="307">
        <f t="shared" ca="1" si="154"/>
        <v>-6.6154846478067615</v>
      </c>
      <c r="F378" s="304">
        <f t="shared" ca="1" si="155"/>
        <v>6.6692842180362719</v>
      </c>
      <c r="G378" s="306">
        <f t="shared" ca="1" si="156"/>
        <v>16.084250352139343</v>
      </c>
      <c r="H378" s="307">
        <f t="shared" ca="1" si="157"/>
        <v>-61.758019615929861</v>
      </c>
      <c r="I378" s="304">
        <f t="shared" ca="1" si="158"/>
        <v>63.818148643406069</v>
      </c>
      <c r="J378" s="306">
        <f t="shared" ca="1" si="159"/>
        <v>568.51946914005362</v>
      </c>
      <c r="K378" s="307">
        <f t="shared" ca="1" si="160"/>
        <v>1229.0966451750421</v>
      </c>
      <c r="L378" s="304">
        <f t="shared" ca="1" si="145"/>
        <v>1354.2130371443895</v>
      </c>
      <c r="M378" s="306">
        <f t="shared" ca="1" si="161"/>
        <v>-1.316016298549805</v>
      </c>
      <c r="N378" s="304">
        <f t="shared" ca="1" si="162"/>
        <v>-75.402179677332342</v>
      </c>
      <c r="P378" s="310">
        <f t="shared" ca="1" si="163"/>
        <v>23</v>
      </c>
      <c r="Q378" s="304">
        <f t="shared" ca="1" si="164"/>
        <v>0</v>
      </c>
      <c r="R378" s="306">
        <f t="shared" ca="1" si="165"/>
        <v>0</v>
      </c>
      <c r="S378" s="307">
        <f t="shared" ca="1" si="166"/>
        <v>2.6792999999999987</v>
      </c>
      <c r="T378" s="304">
        <f t="shared" ca="1" si="146"/>
        <v>26.283932999999987</v>
      </c>
      <c r="U378" s="311">
        <f t="shared" ca="1" si="147"/>
        <v>0</v>
      </c>
      <c r="V378" s="306">
        <f t="shared" ca="1" si="148"/>
        <v>1.0831528535570891</v>
      </c>
      <c r="W378" s="304">
        <f t="shared" ca="1" si="149"/>
        <v>9.0333953984773157</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6.1790359993733741</v>
      </c>
      <c r="AH378" s="304">
        <f t="shared" ca="1" si="173"/>
        <v>-3.304488340269796</v>
      </c>
    </row>
    <row r="379" spans="1:34" x14ac:dyDescent="0.2">
      <c r="A379" s="347">
        <f t="shared" ca="1" si="151"/>
        <v>0.1</v>
      </c>
      <c r="B379" s="304">
        <f t="shared" ca="1" si="152"/>
        <v>22.700000000000014</v>
      </c>
      <c r="D379" s="306">
        <f t="shared" ca="1" si="153"/>
        <v>-0.84974046306655493</v>
      </c>
      <c r="E379" s="307">
        <f t="shared" ca="1" si="154"/>
        <v>-6.5472872818077246</v>
      </c>
      <c r="F379" s="304">
        <f t="shared" ca="1" si="155"/>
        <v>6.6021988462249261</v>
      </c>
      <c r="G379" s="306">
        <f t="shared" ca="1" si="156"/>
        <v>15.999276305832687</v>
      </c>
      <c r="H379" s="307">
        <f t="shared" ca="1" si="157"/>
        <v>-62.412748344110632</v>
      </c>
      <c r="I379" s="304">
        <f t="shared" ca="1" si="158"/>
        <v>64.430800073999265</v>
      </c>
      <c r="J379" s="306">
        <f t="shared" ca="1" si="159"/>
        <v>570.12364547295226</v>
      </c>
      <c r="K379" s="307">
        <f t="shared" ca="1" si="160"/>
        <v>1222.8881067770401</v>
      </c>
      <c r="L379" s="304">
        <f t="shared" ca="1" si="145"/>
        <v>1349.2576821438156</v>
      </c>
      <c r="M379" s="306">
        <f t="shared" ca="1" si="161"/>
        <v>-1.3198536640972676</v>
      </c>
      <c r="N379" s="304">
        <f t="shared" ca="1" si="162"/>
        <v>-75.622044527650857</v>
      </c>
      <c r="P379" s="310">
        <f t="shared" ca="1" si="163"/>
        <v>23</v>
      </c>
      <c r="Q379" s="304">
        <f t="shared" ca="1" si="164"/>
        <v>0</v>
      </c>
      <c r="R379" s="306">
        <f t="shared" ca="1" si="165"/>
        <v>0</v>
      </c>
      <c r="S379" s="307">
        <f t="shared" ca="1" si="166"/>
        <v>2.6792999999999987</v>
      </c>
      <c r="T379" s="304">
        <f t="shared" ca="1" si="146"/>
        <v>26.283932999999987</v>
      </c>
      <c r="U379" s="311">
        <f t="shared" ca="1" si="147"/>
        <v>0</v>
      </c>
      <c r="V379" s="306">
        <f t="shared" ca="1" si="148"/>
        <v>1.0838280800176756</v>
      </c>
      <c r="W379" s="304">
        <f t="shared" ca="1" si="149"/>
        <v>9.2134082752715774</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6.1217704735010479</v>
      </c>
      <c r="AH379" s="304">
        <f t="shared" ca="1" si="173"/>
        <v>-3.3715505536809318</v>
      </c>
    </row>
    <row r="380" spans="1:34" x14ac:dyDescent="0.2">
      <c r="A380" s="347">
        <f t="shared" ca="1" si="151"/>
        <v>0.1</v>
      </c>
      <c r="B380" s="304">
        <f t="shared" ca="1" si="152"/>
        <v>22.800000000000015</v>
      </c>
      <c r="D380" s="306">
        <f t="shared" ca="1" si="153"/>
        <v>-0.8538975881617078</v>
      </c>
      <c r="E380" s="307">
        <f t="shared" ca="1" si="154"/>
        <v>-6.478968379391584</v>
      </c>
      <c r="F380" s="304">
        <f t="shared" ca="1" si="155"/>
        <v>6.5349959718598436</v>
      </c>
      <c r="G380" s="306">
        <f t="shared" ca="1" si="156"/>
        <v>15.913886547016517</v>
      </c>
      <c r="H380" s="307">
        <f t="shared" ca="1" si="157"/>
        <v>-63.06064518204979</v>
      </c>
      <c r="I380" s="304">
        <f t="shared" ca="1" si="158"/>
        <v>65.037656444614399</v>
      </c>
      <c r="J380" s="306">
        <f t="shared" ca="1" si="159"/>
        <v>571.71930361559475</v>
      </c>
      <c r="K380" s="307">
        <f t="shared" ca="1" si="160"/>
        <v>1216.6144371007322</v>
      </c>
      <c r="L380" s="304">
        <f t="shared" ca="1" si="145"/>
        <v>1344.2520785509807</v>
      </c>
      <c r="M380" s="306">
        <f t="shared" ca="1" si="161"/>
        <v>-1.3235991826591855</v>
      </c>
      <c r="N380" s="304">
        <f t="shared" ca="1" si="162"/>
        <v>-75.836646933336667</v>
      </c>
      <c r="P380" s="310">
        <f t="shared" ca="1" si="163"/>
        <v>23</v>
      </c>
      <c r="Q380" s="304">
        <f t="shared" ca="1" si="164"/>
        <v>0</v>
      </c>
      <c r="R380" s="306">
        <f t="shared" ca="1" si="165"/>
        <v>0</v>
      </c>
      <c r="S380" s="307">
        <f t="shared" ca="1" si="166"/>
        <v>2.6792999999999987</v>
      </c>
      <c r="T380" s="304">
        <f t="shared" ca="1" si="146"/>
        <v>26.283932999999987</v>
      </c>
      <c r="U380" s="311">
        <f t="shared" ca="1" si="147"/>
        <v>0</v>
      </c>
      <c r="V380" s="306">
        <f t="shared" ca="1" si="148"/>
        <v>1.0845107914255849</v>
      </c>
      <c r="W380" s="304">
        <f t="shared" ca="1" si="149"/>
        <v>9.3936962815676992</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6.0640016745687184</v>
      </c>
      <c r="AH380" s="304">
        <f t="shared" ca="1" si="173"/>
        <v>-3.4387370862805891</v>
      </c>
    </row>
    <row r="381" spans="1:34" x14ac:dyDescent="0.2">
      <c r="A381" s="347">
        <f t="shared" ca="1" si="151"/>
        <v>0.1</v>
      </c>
      <c r="B381" s="304">
        <f t="shared" ca="1" si="152"/>
        <v>22.900000000000016</v>
      </c>
      <c r="D381" s="306">
        <f t="shared" ca="1" si="153"/>
        <v>-0.85788000235634232</v>
      </c>
      <c r="E381" s="307">
        <f t="shared" ca="1" si="154"/>
        <v>-6.4105496974268981</v>
      </c>
      <c r="F381" s="304">
        <f t="shared" ca="1" si="155"/>
        <v>6.4676970802305682</v>
      </c>
      <c r="G381" s="306">
        <f t="shared" ca="1" si="156"/>
        <v>15.828098546780883</v>
      </c>
      <c r="H381" s="307">
        <f t="shared" ca="1" si="157"/>
        <v>-63.70170015179248</v>
      </c>
      <c r="I381" s="304">
        <f t="shared" ca="1" si="158"/>
        <v>65.638672334497173</v>
      </c>
      <c r="J381" s="306">
        <f t="shared" ca="1" si="159"/>
        <v>573.30640287028461</v>
      </c>
      <c r="K381" s="307">
        <f t="shared" ca="1" si="160"/>
        <v>1210.2763198340401</v>
      </c>
      <c r="L381" s="304">
        <f t="shared" ca="1" si="145"/>
        <v>1339.1971482657409</v>
      </c>
      <c r="M381" s="306">
        <f t="shared" ca="1" si="161"/>
        <v>-1.3272561540377577</v>
      </c>
      <c r="N381" s="304">
        <f t="shared" ca="1" si="162"/>
        <v>-76.046175959128988</v>
      </c>
      <c r="P381" s="310">
        <f t="shared" ca="1" si="163"/>
        <v>23</v>
      </c>
      <c r="Q381" s="304">
        <f t="shared" ca="1" si="164"/>
        <v>0</v>
      </c>
      <c r="R381" s="306">
        <f t="shared" ca="1" si="165"/>
        <v>0</v>
      </c>
      <c r="S381" s="307">
        <f t="shared" ca="1" si="166"/>
        <v>2.6792999999999987</v>
      </c>
      <c r="T381" s="304">
        <f t="shared" ca="1" si="146"/>
        <v>26.283932999999987</v>
      </c>
      <c r="U381" s="311">
        <f t="shared" ca="1" si="147"/>
        <v>0</v>
      </c>
      <c r="V381" s="306">
        <f t="shared" ca="1" si="148"/>
        <v>1.0852009262453306</v>
      </c>
      <c r="W381" s="304">
        <f t="shared" ca="1" si="149"/>
        <v>9.5742023338633793</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6.0057698295988606</v>
      </c>
      <c r="AH381" s="304">
        <f t="shared" ca="1" si="173"/>
        <v>-3.5060263059633874</v>
      </c>
    </row>
    <row r="382" spans="1:34" x14ac:dyDescent="0.2">
      <c r="A382" s="347">
        <f t="shared" ca="1" si="151"/>
        <v>0.1</v>
      </c>
      <c r="B382" s="304">
        <f t="shared" ca="1" si="152"/>
        <v>23.000000000000018</v>
      </c>
      <c r="D382" s="306">
        <f t="shared" ca="1" si="153"/>
        <v>-0.86168833684003643</v>
      </c>
      <c r="E382" s="307">
        <f t="shared" ca="1" si="154"/>
        <v>-6.3420526723126542</v>
      </c>
      <c r="F382" s="304">
        <f t="shared" ca="1" si="155"/>
        <v>6.4003233424753025</v>
      </c>
      <c r="G382" s="306">
        <f t="shared" ca="1" si="156"/>
        <v>15.741929713096878</v>
      </c>
      <c r="H382" s="307">
        <f t="shared" ca="1" si="157"/>
        <v>-64.335905419023746</v>
      </c>
      <c r="I382" s="304">
        <f t="shared" ca="1" si="158"/>
        <v>66.233806150467089</v>
      </c>
      <c r="J382" s="306">
        <f t="shared" ca="1" si="159"/>
        <v>574.8849042832785</v>
      </c>
      <c r="K382" s="307">
        <f t="shared" ca="1" si="160"/>
        <v>1203.8744395554993</v>
      </c>
      <c r="L382" s="304">
        <f t="shared" ca="1" si="145"/>
        <v>1334.0938195598771</v>
      </c>
      <c r="M382" s="306">
        <f t="shared" ca="1" si="161"/>
        <v>-1.3308277241130995</v>
      </c>
      <c r="N382" s="304">
        <f t="shared" ca="1" si="162"/>
        <v>-76.250811850681302</v>
      </c>
      <c r="P382" s="310">
        <f t="shared" ca="1" si="163"/>
        <v>23</v>
      </c>
      <c r="Q382" s="304">
        <f t="shared" ca="1" si="164"/>
        <v>0</v>
      </c>
      <c r="R382" s="306">
        <f t="shared" ca="1" si="165"/>
        <v>0</v>
      </c>
      <c r="S382" s="307">
        <f t="shared" ca="1" si="166"/>
        <v>2.6792999999999987</v>
      </c>
      <c r="T382" s="304">
        <f t="shared" ca="1" si="146"/>
        <v>26.283932999999987</v>
      </c>
      <c r="U382" s="311">
        <f t="shared" ca="1" si="147"/>
        <v>0</v>
      </c>
      <c r="V382" s="306">
        <f t="shared" ca="1" si="148"/>
        <v>1.0858984228180137</v>
      </c>
      <c r="W382" s="304">
        <f t="shared" ca="1" si="149"/>
        <v>9.7548702476269646</v>
      </c>
      <c r="Y382" s="314" t="str">
        <f t="shared" ca="1" si="167"/>
        <v/>
      </c>
      <c r="Z382" s="315" t="str">
        <f t="shared" ca="1" si="168"/>
        <v/>
      </c>
      <c r="AA382" s="316" t="str">
        <f t="shared" ca="1" si="169"/>
        <v/>
      </c>
      <c r="AC382" s="310">
        <f t="shared" ca="1" si="170"/>
        <v>23.000000000000018</v>
      </c>
      <c r="AD382" s="323">
        <f t="shared" ca="1" si="171"/>
        <v>574.8849042832785</v>
      </c>
      <c r="AE382" s="324" t="e">
        <f t="shared" ca="1" si="150"/>
        <v>#N/A</v>
      </c>
      <c r="AG382" s="306">
        <f t="shared" ca="1" si="172"/>
        <v>5.9471137346765062</v>
      </c>
      <c r="AH382" s="304">
        <f t="shared" ca="1" si="173"/>
        <v>-3.5733969073501974</v>
      </c>
    </row>
    <row r="383" spans="1:34" x14ac:dyDescent="0.2">
      <c r="A383" s="347">
        <f t="shared" ca="1" si="151"/>
        <v>0.1</v>
      </c>
      <c r="B383" s="304">
        <f t="shared" ca="1" si="152"/>
        <v>23.100000000000019</v>
      </c>
      <c r="D383" s="306">
        <f t="shared" ca="1" si="153"/>
        <v>-0.86532332285340952</v>
      </c>
      <c r="E383" s="307">
        <f t="shared" ca="1" si="154"/>
        <v>-6.2734984102581048</v>
      </c>
      <c r="F383" s="304">
        <f t="shared" ca="1" si="155"/>
        <v>6.3328956060071793</v>
      </c>
      <c r="G383" s="306">
        <f t="shared" ca="1" si="156"/>
        <v>15.655397380811538</v>
      </c>
      <c r="H383" s="307">
        <f t="shared" ca="1" si="157"/>
        <v>-64.96325526004955</v>
      </c>
      <c r="I383" s="304">
        <f t="shared" ca="1" si="158"/>
        <v>66.823019994111888</v>
      </c>
      <c r="J383" s="306">
        <f t="shared" ca="1" si="159"/>
        <v>576.45477063797398</v>
      </c>
      <c r="K383" s="307">
        <f t="shared" ca="1" si="160"/>
        <v>1197.4094815215456</v>
      </c>
      <c r="L383" s="304">
        <f t="shared" ca="1" si="145"/>
        <v>1328.9430270064161</v>
      </c>
      <c r="M383" s="306">
        <f t="shared" ca="1" si="161"/>
        <v>-1.3343168934376912</v>
      </c>
      <c r="N383" s="304">
        <f t="shared" ca="1" si="162"/>
        <v>-76.450726526986912</v>
      </c>
      <c r="P383" s="310">
        <f t="shared" ca="1" si="163"/>
        <v>23</v>
      </c>
      <c r="Q383" s="304">
        <f t="shared" ca="1" si="164"/>
        <v>0</v>
      </c>
      <c r="R383" s="306">
        <f t="shared" ca="1" si="165"/>
        <v>0</v>
      </c>
      <c r="S383" s="307">
        <f t="shared" ca="1" si="166"/>
        <v>2.6792999999999987</v>
      </c>
      <c r="T383" s="304">
        <f t="shared" ca="1" si="146"/>
        <v>26.283932999999987</v>
      </c>
      <c r="U383" s="311">
        <f t="shared" ca="1" si="147"/>
        <v>0</v>
      </c>
      <c r="V383" s="306">
        <f t="shared" ca="1" si="148"/>
        <v>1.0866032193799366</v>
      </c>
      <c r="W383" s="304">
        <f t="shared" ca="1" si="149"/>
        <v>9.9356447594180288</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5.8880708222525904</v>
      </c>
      <c r="AH383" s="304">
        <f t="shared" ca="1" si="173"/>
        <v>-3.6408279205863359</v>
      </c>
    </row>
    <row r="384" spans="1:34" x14ac:dyDescent="0.2">
      <c r="A384" s="347">
        <f t="shared" ca="1" si="151"/>
        <v>0.1</v>
      </c>
      <c r="B384" s="304">
        <f t="shared" ca="1" si="152"/>
        <v>23.200000000000021</v>
      </c>
      <c r="D384" s="306">
        <f t="shared" ca="1" si="153"/>
        <v>-0.86878578769968218</v>
      </c>
      <c r="E384" s="307">
        <f t="shared" ca="1" si="154"/>
        <v>-6.2049076781778876</v>
      </c>
      <c r="F384" s="304">
        <f t="shared" ca="1" si="155"/>
        <v>6.2654343855490069</v>
      </c>
      <c r="G384" s="306">
        <f t="shared" ca="1" si="156"/>
        <v>15.56851880204157</v>
      </c>
      <c r="H384" s="307">
        <f t="shared" ca="1" si="157"/>
        <v>-65.583746027867335</v>
      </c>
      <c r="I384" s="304">
        <f t="shared" ca="1" si="158"/>
        <v>67.406279534901827</v>
      </c>
      <c r="J384" s="306">
        <f t="shared" ca="1" si="159"/>
        <v>578.01596644711663</v>
      </c>
      <c r="K384" s="307">
        <f t="shared" ca="1" si="160"/>
        <v>1190.8821314571496</v>
      </c>
      <c r="L384" s="304">
        <f t="shared" ca="1" si="145"/>
        <v>1323.7457114157983</v>
      </c>
      <c r="M384" s="306">
        <f t="shared" ca="1" si="161"/>
        <v>-1.3377265252810264</v>
      </c>
      <c r="N384" s="304">
        <f t="shared" ca="1" si="162"/>
        <v>-76.646084041303439</v>
      </c>
      <c r="P384" s="310">
        <f t="shared" ca="1" si="163"/>
        <v>23</v>
      </c>
      <c r="Q384" s="304">
        <f t="shared" ca="1" si="164"/>
        <v>0</v>
      </c>
      <c r="R384" s="306">
        <f t="shared" ca="1" si="165"/>
        <v>0</v>
      </c>
      <c r="S384" s="307">
        <f t="shared" ca="1" si="166"/>
        <v>2.6792999999999987</v>
      </c>
      <c r="T384" s="304">
        <f t="shared" ca="1" si="146"/>
        <v>26.283932999999987</v>
      </c>
      <c r="U384" s="311">
        <f t="shared" ca="1" si="147"/>
        <v>0</v>
      </c>
      <c r="V384" s="306">
        <f t="shared" ca="1" si="148"/>
        <v>1.0873152540809592</v>
      </c>
      <c r="W384" s="304">
        <f t="shared" ca="1" si="149"/>
        <v>10.11647154756419</v>
      </c>
      <c r="Y384" s="314" t="str">
        <f t="shared" ca="1" si="167"/>
        <v/>
      </c>
      <c r="Z384" s="315" t="str">
        <f t="shared" ca="1" si="168"/>
        <v/>
      </c>
      <c r="AA384" s="316" t="str">
        <f t="shared" ca="1" si="169"/>
        <v/>
      </c>
      <c r="AC384" s="310" t="e">
        <f t="shared" ca="1" si="170"/>
        <v>#N/A</v>
      </c>
      <c r="AD384" s="323" t="e">
        <f t="shared" ca="1" si="171"/>
        <v>#N/A</v>
      </c>
      <c r="AE384" s="324" t="e">
        <f t="shared" ca="1" si="150"/>
        <v>#N/A</v>
      </c>
      <c r="AG384" s="306">
        <f t="shared" ca="1" si="172"/>
        <v>5.8286772230825781</v>
      </c>
      <c r="AH384" s="304">
        <f t="shared" ca="1" si="173"/>
        <v>-3.7082987195976687</v>
      </c>
    </row>
    <row r="385" spans="1:34" x14ac:dyDescent="0.2">
      <c r="A385" s="347">
        <f t="shared" ca="1" si="151"/>
        <v>0.1</v>
      </c>
      <c r="B385" s="304">
        <f t="shared" ca="1" si="152"/>
        <v>23.300000000000022</v>
      </c>
      <c r="D385" s="306">
        <f t="shared" ca="1" si="153"/>
        <v>-0.87207665085073982</v>
      </c>
      <c r="E385" s="307">
        <f t="shared" ca="1" si="154"/>
        <v>-6.1363008951931945</v>
      </c>
      <c r="F385" s="304">
        <f t="shared" ca="1" si="155"/>
        <v>6.1979598547673609</v>
      </c>
      <c r="G385" s="306">
        <f t="shared" ca="1" si="156"/>
        <v>15.481311136956496</v>
      </c>
      <c r="H385" s="307">
        <f t="shared" ca="1" si="157"/>
        <v>-66.197376117386654</v>
      </c>
      <c r="I385" s="304">
        <f t="shared" ca="1" si="158"/>
        <v>67.983553888760525</v>
      </c>
      <c r="J385" s="306">
        <f t="shared" ca="1" si="159"/>
        <v>579.56845794406649</v>
      </c>
      <c r="K385" s="307">
        <f t="shared" ca="1" si="160"/>
        <v>1184.293075349887</v>
      </c>
      <c r="L385" s="304">
        <f t="shared" ca="1" si="145"/>
        <v>1318.5028197790691</v>
      </c>
      <c r="M385" s="306">
        <f t="shared" ca="1" si="161"/>
        <v>-1.3410593531634163</v>
      </c>
      <c r="N385" s="304">
        <f t="shared" ca="1" si="162"/>
        <v>-76.837041012807902</v>
      </c>
      <c r="P385" s="310">
        <f t="shared" ca="1" si="163"/>
        <v>23</v>
      </c>
      <c r="Q385" s="304">
        <f t="shared" ca="1" si="164"/>
        <v>0</v>
      </c>
      <c r="R385" s="306">
        <f t="shared" ca="1" si="165"/>
        <v>0</v>
      </c>
      <c r="S385" s="307">
        <f t="shared" ca="1" si="166"/>
        <v>2.6792999999999987</v>
      </c>
      <c r="T385" s="304">
        <f t="shared" ca="1" si="146"/>
        <v>26.283932999999987</v>
      </c>
      <c r="U385" s="311">
        <f t="shared" ca="1" si="147"/>
        <v>0</v>
      </c>
      <c r="V385" s="306">
        <f t="shared" ca="1" si="148"/>
        <v>1.0880344650025902</v>
      </c>
      <c r="W385" s="304">
        <f t="shared" ca="1" si="149"/>
        <v>10.297297251405023</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5.768967823301784</v>
      </c>
      <c r="AH385" s="304">
        <f t="shared" ca="1" si="173"/>
        <v>-3.7757890298078585</v>
      </c>
    </row>
    <row r="386" spans="1:34" x14ac:dyDescent="0.2">
      <c r="A386" s="347">
        <f t="shared" ca="1" si="151"/>
        <v>0.1</v>
      </c>
      <c r="B386" s="304">
        <f t="shared" ca="1" si="152"/>
        <v>23.400000000000023</v>
      </c>
      <c r="D386" s="306">
        <f t="shared" ca="1" si="153"/>
        <v>-0.87519692014290262</v>
      </c>
      <c r="E386" s="307">
        <f t="shared" ca="1" si="154"/>
        <v>-6.0676981247295156</v>
      </c>
      <c r="F386" s="304">
        <f t="shared" ca="1" si="155"/>
        <v>6.1304918384966234</v>
      </c>
      <c r="G386" s="306">
        <f t="shared" ca="1" si="156"/>
        <v>15.393791444942206</v>
      </c>
      <c r="H386" s="307">
        <f t="shared" ca="1" si="157"/>
        <v>-66.804145929859601</v>
      </c>
      <c r="I386" s="304">
        <f t="shared" ca="1" si="158"/>
        <v>68.554815501672479</v>
      </c>
      <c r="J386" s="306">
        <f t="shared" ca="1" si="159"/>
        <v>581.11221307316146</v>
      </c>
      <c r="K386" s="307">
        <f t="shared" ca="1" si="160"/>
        <v>1177.6429992475246</v>
      </c>
      <c r="L386" s="304">
        <f t="shared" ca="1" si="145"/>
        <v>1313.2153052182618</v>
      </c>
      <c r="M386" s="306">
        <f t="shared" ca="1" si="161"/>
        <v>-1.3443179879149418</v>
      </c>
      <c r="N386" s="304">
        <f t="shared" ca="1" si="162"/>
        <v>-77.023747031044977</v>
      </c>
      <c r="P386" s="310">
        <f t="shared" ca="1" si="163"/>
        <v>23</v>
      </c>
      <c r="Q386" s="304">
        <f t="shared" ca="1" si="164"/>
        <v>0</v>
      </c>
      <c r="R386" s="306">
        <f t="shared" ca="1" si="165"/>
        <v>0</v>
      </c>
      <c r="S386" s="307">
        <f t="shared" ca="1" si="166"/>
        <v>2.6792999999999987</v>
      </c>
      <c r="T386" s="304">
        <f t="shared" ca="1" si="146"/>
        <v>26.283932999999987</v>
      </c>
      <c r="U386" s="311">
        <f t="shared" ca="1" si="147"/>
        <v>0</v>
      </c>
      <c r="V386" s="306">
        <f t="shared" ca="1" si="148"/>
        <v>1.0887607901758023</v>
      </c>
      <c r="W386" s="304">
        <f t="shared" ca="1" si="149"/>
        <v>10.478069489115954</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5.7089763170914321</v>
      </c>
      <c r="AH386" s="304">
        <f t="shared" ca="1" si="173"/>
        <v>-3.8432789353208032</v>
      </c>
    </row>
    <row r="387" spans="1:34" x14ac:dyDescent="0.2">
      <c r="A387" s="347">
        <f t="shared" ca="1" si="151"/>
        <v>0.1</v>
      </c>
      <c r="B387" s="304">
        <f t="shared" ca="1" si="152"/>
        <v>23.500000000000025</v>
      </c>
      <c r="D387" s="306">
        <f t="shared" ca="1" si="153"/>
        <v>-0.87814768805823018</v>
      </c>
      <c r="E387" s="307">
        <f t="shared" ca="1" si="154"/>
        <v>-5.9991190672012475</v>
      </c>
      <c r="F387" s="304">
        <f t="shared" ca="1" si="155"/>
        <v>6.0630498055433772</v>
      </c>
      <c r="G387" s="306">
        <f t="shared" ca="1" si="156"/>
        <v>15.305976676136384</v>
      </c>
      <c r="H387" s="307">
        <f t="shared" ca="1" si="157"/>
        <v>-67.404057836579724</v>
      </c>
      <c r="I387" s="304">
        <f t="shared" ca="1" si="158"/>
        <v>69.120040037947135</v>
      </c>
      <c r="J387" s="306">
        <f t="shared" ca="1" si="159"/>
        <v>582.64720147921537</v>
      </c>
      <c r="K387" s="307">
        <f t="shared" ca="1" si="160"/>
        <v>1170.9325890592027</v>
      </c>
      <c r="L387" s="304">
        <f t="shared" ca="1" si="145"/>
        <v>1307.8841269441452</v>
      </c>
      <c r="M387" s="306">
        <f t="shared" ca="1" si="161"/>
        <v>-1.3475049242928239</v>
      </c>
      <c r="N387" s="304">
        <f t="shared" ca="1" si="162"/>
        <v>-77.206345035074321</v>
      </c>
      <c r="P387" s="310">
        <f t="shared" ca="1" si="163"/>
        <v>23</v>
      </c>
      <c r="Q387" s="304">
        <f t="shared" ca="1" si="164"/>
        <v>0</v>
      </c>
      <c r="R387" s="306">
        <f t="shared" ca="1" si="165"/>
        <v>0</v>
      </c>
      <c r="S387" s="307">
        <f t="shared" ca="1" si="166"/>
        <v>2.6792999999999987</v>
      </c>
      <c r="T387" s="304">
        <f t="shared" ca="1" si="146"/>
        <v>26.283932999999987</v>
      </c>
      <c r="U387" s="311">
        <f t="shared" ca="1" si="147"/>
        <v>0</v>
      </c>
      <c r="V387" s="306">
        <f t="shared" ca="1" si="148"/>
        <v>1.0894941675985694</v>
      </c>
      <c r="W387" s="304">
        <f t="shared" ca="1" si="149"/>
        <v>10.65873687412749</v>
      </c>
      <c r="Y387" s="314" t="str">
        <f t="shared" ca="1" si="167"/>
        <v/>
      </c>
      <c r="Z387" s="315" t="str">
        <f t="shared" ca="1" si="168"/>
        <v/>
      </c>
      <c r="AA387" s="316" t="str">
        <f t="shared" ca="1" si="169"/>
        <v/>
      </c>
      <c r="AC387" s="310" t="e">
        <f t="shared" ca="1" si="170"/>
        <v>#N/A</v>
      </c>
      <c r="AD387" s="323" t="e">
        <f t="shared" ca="1" si="171"/>
        <v>#N/A</v>
      </c>
      <c r="AE387" s="324" t="e">
        <f t="shared" ca="1" si="150"/>
        <v>#N/A</v>
      </c>
      <c r="AG387" s="306">
        <f t="shared" ca="1" si="172"/>
        <v>5.6487352553467423</v>
      </c>
      <c r="AH387" s="304">
        <f t="shared" ca="1" si="173"/>
        <v>-3.9107488855730823</v>
      </c>
    </row>
    <row r="388" spans="1:34" x14ac:dyDescent="0.2">
      <c r="A388" s="347">
        <f t="shared" ca="1" si="151"/>
        <v>0.1</v>
      </c>
      <c r="B388" s="304">
        <f t="shared" ca="1" si="152"/>
        <v>23.600000000000026</v>
      </c>
      <c r="D388" s="306">
        <f t="shared" ca="1" si="153"/>
        <v>-0.88093012808774207</v>
      </c>
      <c r="E388" s="307">
        <f t="shared" ca="1" si="154"/>
        <v>-5.9305830532729971</v>
      </c>
      <c r="F388" s="304">
        <f t="shared" ca="1" si="155"/>
        <v>5.9956528620611076</v>
      </c>
      <c r="G388" s="306">
        <f t="shared" ca="1" si="156"/>
        <v>15.21788366332761</v>
      </c>
      <c r="H388" s="307">
        <f t="shared" ca="1" si="157"/>
        <v>-67.997116141907028</v>
      </c>
      <c r="I388" s="304">
        <f t="shared" ca="1" si="158"/>
        <v>69.679206272793948</v>
      </c>
      <c r="J388" s="306">
        <f t="shared" ca="1" si="159"/>
        <v>584.17339449618862</v>
      </c>
      <c r="K388" s="307">
        <f t="shared" ca="1" si="160"/>
        <v>1164.1625303602784</v>
      </c>
      <c r="L388" s="304">
        <f t="shared" ref="L388:L451" ca="1" si="174">SQRT(pos_x^2+pos_z^2)</f>
        <v>1302.5102502214891</v>
      </c>
      <c r="M388" s="306">
        <f t="shared" ca="1" si="161"/>
        <v>-1.3506225471879594</v>
      </c>
      <c r="N388" s="304">
        <f t="shared" ca="1" si="162"/>
        <v>-77.384971669078951</v>
      </c>
      <c r="P388" s="310">
        <f t="shared" ca="1" si="163"/>
        <v>23</v>
      </c>
      <c r="Q388" s="304">
        <f t="shared" ca="1" si="164"/>
        <v>0</v>
      </c>
      <c r="R388" s="306">
        <f t="shared" ca="1" si="165"/>
        <v>0</v>
      </c>
      <c r="S388" s="307">
        <f t="shared" ca="1" si="166"/>
        <v>2.6792999999999987</v>
      </c>
      <c r="T388" s="304">
        <f t="shared" ref="T388:T451" ca="1" si="175">m*g</f>
        <v>26.283932999999987</v>
      </c>
      <c r="U388" s="311">
        <f t="shared" ref="U388:U451" ca="1" si="176">IF(pos_xz&lt;L_rampe,Poids*COS(Beta),0)</f>
        <v>0</v>
      </c>
      <c r="V388" s="306">
        <f t="shared" ref="V388:V451" ca="1" si="177">Rho_moyen*(20000-Alt_rampe-pos_z)/(20000+Alt_rampe+pos_z)</f>
        <v>1.0902345352531118</v>
      </c>
      <c r="W388" s="304">
        <f t="shared" ref="W388:W451" ca="1" si="178">1/2*Rho*Sref*Cx*vit_xz^2</f>
        <v>10.839249030156578</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5.5882760907195195</v>
      </c>
      <c r="AH388" s="304">
        <f t="shared" ca="1" si="173"/>
        <v>-3.9781797014621336</v>
      </c>
    </row>
    <row r="389" spans="1:34" x14ac:dyDescent="0.2">
      <c r="A389" s="347">
        <f t="shared" ref="A389:A452" ca="1" si="180">IF(B388+0.01&lt;=T_ini+ROUNDUP(Temps_fin_propu,0), 0.01, IF(K388&gt;0, 0.1, 0.0001))</f>
        <v>0.1</v>
      </c>
      <c r="B389" s="304">
        <f t="shared" ref="B389:B452" ca="1" si="181">B388+pas</f>
        <v>23.700000000000028</v>
      </c>
      <c r="D389" s="306">
        <f t="shared" ref="D389:D452" ca="1" si="182">IF(AND(L388&lt;L_rampe,Poussee&lt;Poids*SIN(M388)),0,(-W388+Poussee)/m*COS(M388)-U388/m*SIN(M388))</f>
        <v>-0.88354549117342063</v>
      </c>
      <c r="E389" s="307">
        <f t="shared" ref="E389:E452" ca="1" si="183">IF(AND(L388&lt;L_rampe,Poussee&lt;Poids*SIN(M388)),0,(-W388+Poussee)/m*SIN(M388)+U388/m*COS(M388)-Poids/m)</f>
        <v>-5.8621090376872864</v>
      </c>
      <c r="F389" s="304">
        <f t="shared" ref="F389:F452" ca="1" si="184">SQRT(acc_x^2+acc_z^2)</f>
        <v>5.9283197454850427</v>
      </c>
      <c r="G389" s="306">
        <f t="shared" ref="G389:G452" ca="1" si="185">G388+acc_x*pas</f>
        <v>15.129529114210268</v>
      </c>
      <c r="H389" s="307">
        <f t="shared" ref="H389:H452" ca="1" si="186">H388+acc_z*pas</f>
        <v>-68.583327045675759</v>
      </c>
      <c r="I389" s="304">
        <f t="shared" ref="I389:I452" ca="1" si="187">SQRT(vit_x^2+vit_z^2)</f>
        <v>70.232295988895714</v>
      </c>
      <c r="J389" s="306">
        <f t="shared" ref="J389:J452" ca="1" si="188">J388+0.5*(vit_x+G388)*pas*(K388&gt;=0)</f>
        <v>585.69076513506548</v>
      </c>
      <c r="K389" s="307">
        <f t="shared" ref="K389:K452" ca="1" si="189">K388+0.5*(vit_z+H388)*pas</f>
        <v>1157.3335082008994</v>
      </c>
      <c r="L389" s="304">
        <f t="shared" ca="1" si="174"/>
        <v>1297.0946463420084</v>
      </c>
      <c r="M389" s="306">
        <f t="shared" ref="M389:M452" ca="1" si="190">IF(AND(L388&gt;L_rampe,G389&gt;0),ATAN2(G389,H389),$M$4)</f>
        <v>-1.3536731374490645</v>
      </c>
      <c r="N389" s="304">
        <f t="shared" ref="N389:N452" ca="1" si="191">DEGREES(Beta)</f>
        <v>-77.559757616063976</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2.6792999999999987</v>
      </c>
      <c r="T389" s="304">
        <f t="shared" ca="1" si="175"/>
        <v>26.283932999999987</v>
      </c>
      <c r="U389" s="311">
        <f t="shared" ca="1" si="176"/>
        <v>0</v>
      </c>
      <c r="V389" s="306">
        <f t="shared" ca="1" si="177"/>
        <v>1.0909818311228523</v>
      </c>
      <c r="W389" s="304">
        <f t="shared" ca="1" si="178"/>
        <v>11.019556604869114</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5.5276292193729439</v>
      </c>
      <c r="AH389" s="304">
        <f t="shared" ref="AH389:AH452" ca="1" si="202">IF(AND(L388&lt;L_rampe,Poussee&lt;Poids*SIN(M388)), g*SIN(M388), (-W388+Poussee)/m)</f>
        <v>-4.0455525809564374</v>
      </c>
    </row>
    <row r="390" spans="1:34" x14ac:dyDescent="0.2">
      <c r="A390" s="347">
        <f t="shared" ca="1" si="180"/>
        <v>0.1</v>
      </c>
      <c r="B390" s="304">
        <f t="shared" ca="1" si="181"/>
        <v>23.800000000000029</v>
      </c>
      <c r="D390" s="306">
        <f t="shared" ca="1" si="182"/>
        <v>-0.88599510222629108</v>
      </c>
      <c r="E390" s="307">
        <f t="shared" ca="1" si="183"/>
        <v>-5.7937155936479092</v>
      </c>
      <c r="F390" s="304">
        <f t="shared" ca="1" si="184"/>
        <v>5.8610688190165385</v>
      </c>
      <c r="G390" s="306">
        <f t="shared" ca="1" si="185"/>
        <v>15.040929603987639</v>
      </c>
      <c r="H390" s="307">
        <f t="shared" ca="1" si="186"/>
        <v>-69.162698605040546</v>
      </c>
      <c r="I390" s="304">
        <f t="shared" ca="1" si="187"/>
        <v>70.779293876696656</v>
      </c>
      <c r="J390" s="306">
        <f t="shared" ca="1" si="188"/>
        <v>587.1992880709754</v>
      </c>
      <c r="K390" s="307">
        <f t="shared" ca="1" si="189"/>
        <v>1150.4462069183635</v>
      </c>
      <c r="L390" s="304">
        <f t="shared" ca="1" si="174"/>
        <v>1291.6382926051358</v>
      </c>
      <c r="M390" s="306">
        <f t="shared" ca="1" si="190"/>
        <v>-1.3566588773507271</v>
      </c>
      <c r="N390" s="304">
        <f t="shared" ca="1" si="191"/>
        <v>-77.730827911153057</v>
      </c>
      <c r="P390" s="310">
        <f t="shared" ca="1" si="192"/>
        <v>23</v>
      </c>
      <c r="Q390" s="304">
        <f t="shared" ca="1" si="193"/>
        <v>0</v>
      </c>
      <c r="R390" s="306">
        <f t="shared" ca="1" si="194"/>
        <v>0</v>
      </c>
      <c r="S390" s="307">
        <f t="shared" ca="1" si="195"/>
        <v>2.6792999999999987</v>
      </c>
      <c r="T390" s="304">
        <f t="shared" ca="1" si="175"/>
        <v>26.283932999999987</v>
      </c>
      <c r="U390" s="311">
        <f t="shared" ca="1" si="176"/>
        <v>0</v>
      </c>
      <c r="V390" s="306">
        <f t="shared" ca="1" si="177"/>
        <v>1.0917359932090689</v>
      </c>
      <c r="W390" s="304">
        <f t="shared" ca="1" si="178"/>
        <v>11.199611282194214</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5.4668240197545419</v>
      </c>
      <c r="AH390" s="304">
        <f t="shared" ca="1" si="202"/>
        <v>-4.1128491041947974</v>
      </c>
    </row>
    <row r="391" spans="1:34" x14ac:dyDescent="0.2">
      <c r="A391" s="347">
        <f t="shared" ca="1" si="180"/>
        <v>0.1</v>
      </c>
      <c r="B391" s="304">
        <f t="shared" ca="1" si="181"/>
        <v>23.900000000000031</v>
      </c>
      <c r="D391" s="306">
        <f t="shared" ca="1" si="182"/>
        <v>-0.88828035671826466</v>
      </c>
      <c r="E391" s="307">
        <f t="shared" ca="1" si="183"/>
        <v>-5.7254209077479219</v>
      </c>
      <c r="F391" s="304">
        <f t="shared" ca="1" si="184"/>
        <v>5.7939180666461416</v>
      </c>
      <c r="G391" s="306">
        <f t="shared" ca="1" si="185"/>
        <v>14.952101568315813</v>
      </c>
      <c r="H391" s="307">
        <f t="shared" ca="1" si="186"/>
        <v>-69.735240695815335</v>
      </c>
      <c r="I391" s="304">
        <f t="shared" ca="1" si="187"/>
        <v>71.320187438147769</v>
      </c>
      <c r="J391" s="306">
        <f t="shared" ca="1" si="188"/>
        <v>588.69893962959054</v>
      </c>
      <c r="K391" s="307">
        <f t="shared" ca="1" si="189"/>
        <v>1143.5013099533207</v>
      </c>
      <c r="L391" s="304">
        <f t="shared" ca="1" si="174"/>
        <v>1286.1421723067651</v>
      </c>
      <c r="M391" s="306">
        <f t="shared" ca="1" si="190"/>
        <v>-1.3595818557297106</v>
      </c>
      <c r="N391" s="304">
        <f t="shared" ca="1" si="191"/>
        <v>-77.898302235876798</v>
      </c>
      <c r="P391" s="310">
        <f t="shared" ca="1" si="192"/>
        <v>23</v>
      </c>
      <c r="Q391" s="304">
        <f t="shared" ca="1" si="193"/>
        <v>0</v>
      </c>
      <c r="R391" s="306">
        <f t="shared" ca="1" si="194"/>
        <v>0</v>
      </c>
      <c r="S391" s="307">
        <f t="shared" ca="1" si="195"/>
        <v>2.6792999999999987</v>
      </c>
      <c r="T391" s="304">
        <f t="shared" ca="1" si="175"/>
        <v>26.283932999999987</v>
      </c>
      <c r="U391" s="311">
        <f t="shared" ca="1" si="176"/>
        <v>0</v>
      </c>
      <c r="V391" s="306">
        <f t="shared" ca="1" si="177"/>
        <v>1.0924969595472445</v>
      </c>
      <c r="W391" s="304">
        <f t="shared" ca="1" si="178"/>
        <v>11.379365793312511</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5.4058888886646255</v>
      </c>
      <c r="AH391" s="304">
        <f t="shared" ca="1" si="202"/>
        <v>-4.1800512380824166</v>
      </c>
    </row>
    <row r="392" spans="1:34" x14ac:dyDescent="0.2">
      <c r="A392" s="347">
        <f t="shared" ca="1" si="180"/>
        <v>0.1</v>
      </c>
      <c r="B392" s="304">
        <f t="shared" ca="1" si="181"/>
        <v>24.000000000000032</v>
      </c>
      <c r="D392" s="306">
        <f t="shared" ca="1" si="182"/>
        <v>-0.89040271734575571</v>
      </c>
      <c r="E392" s="307">
        <f t="shared" ca="1" si="183"/>
        <v>-5.6572427754309098</v>
      </c>
      <c r="F392" s="304">
        <f t="shared" ca="1" si="184"/>
        <v>5.7268850887041491</v>
      </c>
      <c r="G392" s="306">
        <f t="shared" ca="1" si="185"/>
        <v>14.863061296581238</v>
      </c>
      <c r="H392" s="307">
        <f t="shared" ca="1" si="186"/>
        <v>-70.300964973358433</v>
      </c>
      <c r="I392" s="304">
        <f t="shared" ca="1" si="187"/>
        <v>71.854966893676192</v>
      </c>
      <c r="J392" s="306">
        <f t="shared" ca="1" si="188"/>
        <v>590.18969777283542</v>
      </c>
      <c r="K392" s="307">
        <f t="shared" ca="1" si="189"/>
        <v>1136.499499669862</v>
      </c>
      <c r="L392" s="304">
        <f t="shared" ca="1" si="174"/>
        <v>1280.6072747361063</v>
      </c>
      <c r="M392" s="306">
        <f t="shared" ca="1" si="190"/>
        <v>-1.3624440728120364</v>
      </c>
      <c r="N392" s="304">
        <f t="shared" ca="1" si="191"/>
        <v>-78.062295194744308</v>
      </c>
      <c r="P392" s="310">
        <f t="shared" ca="1" si="192"/>
        <v>23</v>
      </c>
      <c r="Q392" s="304">
        <f t="shared" ca="1" si="193"/>
        <v>0</v>
      </c>
      <c r="R392" s="306">
        <f t="shared" ca="1" si="194"/>
        <v>0</v>
      </c>
      <c r="S392" s="307">
        <f t="shared" ca="1" si="195"/>
        <v>2.6792999999999987</v>
      </c>
      <c r="T392" s="304">
        <f t="shared" ca="1" si="175"/>
        <v>26.283932999999987</v>
      </c>
      <c r="U392" s="311">
        <f t="shared" ca="1" si="176"/>
        <v>0</v>
      </c>
      <c r="V392" s="306">
        <f t="shared" ca="1" si="177"/>
        <v>1.0932646682231062</v>
      </c>
      <c r="W392" s="304">
        <f t="shared" ca="1" si="178"/>
        <v>11.558773926342209</v>
      </c>
      <c r="Y392" s="314" t="str">
        <f t="shared" ca="1" si="196"/>
        <v/>
      </c>
      <c r="Z392" s="315" t="str">
        <f t="shared" ca="1" si="197"/>
        <v/>
      </c>
      <c r="AA392" s="316" t="str">
        <f t="shared" ca="1" si="198"/>
        <v/>
      </c>
      <c r="AC392" s="310">
        <f t="shared" ca="1" si="199"/>
        <v>24.000000000000032</v>
      </c>
      <c r="AD392" s="323">
        <f t="shared" ca="1" si="200"/>
        <v>590.18969777283542</v>
      </c>
      <c r="AE392" s="324" t="e">
        <f t="shared" ca="1" si="179"/>
        <v>#N/A</v>
      </c>
      <c r="AG392" s="306">
        <f t="shared" ca="1" si="201"/>
        <v>5.3448512748717834</v>
      </c>
      <c r="AH392" s="304">
        <f t="shared" ca="1" si="202"/>
        <v>-4.2471413403920861</v>
      </c>
    </row>
    <row r="393" spans="1:34" x14ac:dyDescent="0.2">
      <c r="A393" s="347">
        <f t="shared" ca="1" si="180"/>
        <v>0.1</v>
      </c>
      <c r="B393" s="304">
        <f t="shared" ca="1" si="181"/>
        <v>24.100000000000033</v>
      </c>
      <c r="D393" s="306">
        <f t="shared" ca="1" si="182"/>
        <v>-0.89236371076337795</v>
      </c>
      <c r="E393" s="307">
        <f t="shared" ca="1" si="183"/>
        <v>-5.5891985969739411</v>
      </c>
      <c r="F393" s="304">
        <f t="shared" ca="1" si="184"/>
        <v>5.6599870979272433</v>
      </c>
      <c r="G393" s="306">
        <f t="shared" ca="1" si="185"/>
        <v>14.773824925504901</v>
      </c>
      <c r="H393" s="307">
        <f t="shared" ca="1" si="186"/>
        <v>-70.85988483305583</v>
      </c>
      <c r="I393" s="304">
        <f t="shared" ca="1" si="187"/>
        <v>72.383625092167122</v>
      </c>
      <c r="J393" s="306">
        <f t="shared" ca="1" si="188"/>
        <v>591.6715420839397</v>
      </c>
      <c r="K393" s="307">
        <f t="shared" ca="1" si="189"/>
        <v>1129.4414571795412</v>
      </c>
      <c r="L393" s="304">
        <f t="shared" ca="1" si="174"/>
        <v>1275.0345951807867</v>
      </c>
      <c r="M393" s="306">
        <f t="shared" ca="1" si="190"/>
        <v>-1.3652474447517116</v>
      </c>
      <c r="N393" s="304">
        <f t="shared" ca="1" si="191"/>
        <v>-78.222916575293112</v>
      </c>
      <c r="P393" s="310">
        <f t="shared" ca="1" si="192"/>
        <v>23</v>
      </c>
      <c r="Q393" s="304">
        <f t="shared" ca="1" si="193"/>
        <v>0</v>
      </c>
      <c r="R393" s="306">
        <f t="shared" ca="1" si="194"/>
        <v>0</v>
      </c>
      <c r="S393" s="307">
        <f t="shared" ca="1" si="195"/>
        <v>2.6792999999999987</v>
      </c>
      <c r="T393" s="304">
        <f t="shared" ca="1" si="175"/>
        <v>26.283932999999987</v>
      </c>
      <c r="U393" s="311">
        <f t="shared" ca="1" si="176"/>
        <v>0</v>
      </c>
      <c r="V393" s="306">
        <f t="shared" ca="1" si="177"/>
        <v>1.0940390573883514</v>
      </c>
      <c r="W393" s="304">
        <f t="shared" ca="1" si="178"/>
        <v>11.737790534748102</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5.2837377105033738</v>
      </c>
      <c r="AH393" s="304">
        <f t="shared" ca="1" si="202"/>
        <v>-4.3141021633793208</v>
      </c>
    </row>
    <row r="394" spans="1:34" x14ac:dyDescent="0.2">
      <c r="A394" s="347">
        <f t="shared" ca="1" si="180"/>
        <v>0.1</v>
      </c>
      <c r="B394" s="304">
        <f t="shared" ca="1" si="181"/>
        <v>24.200000000000035</v>
      </c>
      <c r="D394" s="306">
        <f t="shared" ca="1" si="182"/>
        <v>-0.89416492438627726</v>
      </c>
      <c r="E394" s="307">
        <f t="shared" ca="1" si="183"/>
        <v>-5.5213053739802387</v>
      </c>
      <c r="F394" s="304">
        <f t="shared" ca="1" si="184"/>
        <v>5.5932409160294334</v>
      </c>
      <c r="G394" s="306">
        <f t="shared" ca="1" si="185"/>
        <v>14.684408433066272</v>
      </c>
      <c r="H394" s="307">
        <f t="shared" ca="1" si="186"/>
        <v>-71.412015370453858</v>
      </c>
      <c r="I394" s="304">
        <f t="shared" ca="1" si="187"/>
        <v>72.906157423766658</v>
      </c>
      <c r="J394" s="306">
        <f t="shared" ca="1" si="188"/>
        <v>593.14445375186824</v>
      </c>
      <c r="K394" s="307">
        <f t="shared" ca="1" si="189"/>
        <v>1122.3278621693657</v>
      </c>
      <c r="L394" s="304">
        <f t="shared" ca="1" si="174"/>
        <v>1269.4251349403244</v>
      </c>
      <c r="M394" s="306">
        <f t="shared" ca="1" si="190"/>
        <v>-1.3679938079004255</v>
      </c>
      <c r="N394" s="304">
        <f t="shared" ca="1" si="191"/>
        <v>-78.380271592724668</v>
      </c>
      <c r="P394" s="310">
        <f t="shared" ca="1" si="192"/>
        <v>23</v>
      </c>
      <c r="Q394" s="304">
        <f t="shared" ca="1" si="193"/>
        <v>0</v>
      </c>
      <c r="R394" s="306">
        <f t="shared" ca="1" si="194"/>
        <v>0</v>
      </c>
      <c r="S394" s="307">
        <f t="shared" ca="1" si="195"/>
        <v>2.6792999999999987</v>
      </c>
      <c r="T394" s="304">
        <f t="shared" ca="1" si="175"/>
        <v>26.283932999999987</v>
      </c>
      <c r="U394" s="311">
        <f t="shared" ca="1" si="176"/>
        <v>0</v>
      </c>
      <c r="V394" s="306">
        <f t="shared" ca="1" si="177"/>
        <v>1.0948200652760565</v>
      </c>
      <c r="W394" s="304">
        <f t="shared" ca="1" si="178"/>
        <v>11.916371544500187</v>
      </c>
      <c r="Y394" s="314" t="str">
        <f t="shared" ca="1" si="196"/>
        <v/>
      </c>
      <c r="Z394" s="315" t="str">
        <f t="shared" ca="1" si="197"/>
        <v/>
      </c>
      <c r="AA394" s="316" t="str">
        <f t="shared" ca="1" si="198"/>
        <v/>
      </c>
      <c r="AC394" s="310" t="e">
        <f t="shared" ca="1" si="199"/>
        <v>#N/A</v>
      </c>
      <c r="AD394" s="323" t="e">
        <f t="shared" ca="1" si="200"/>
        <v>#N/A</v>
      </c>
      <c r="AE394" s="324" t="e">
        <f t="shared" ca="1" si="179"/>
        <v>#N/A</v>
      </c>
      <c r="AG394" s="306">
        <f t="shared" ca="1" si="201"/>
        <v>5.2225738404178044</v>
      </c>
      <c r="AH394" s="304">
        <f t="shared" ca="1" si="202"/>
        <v>-4.3809168569208774</v>
      </c>
    </row>
    <row r="395" spans="1:34" x14ac:dyDescent="0.2">
      <c r="A395" s="347">
        <f t="shared" ca="1" si="180"/>
        <v>0.1</v>
      </c>
      <c r="B395" s="304">
        <f t="shared" ca="1" si="181"/>
        <v>24.300000000000036</v>
      </c>
      <c r="D395" s="306">
        <f t="shared" ca="1" si="182"/>
        <v>-0.89580800325989629</v>
      </c>
      <c r="E395" s="307">
        <f t="shared" ca="1" si="183"/>
        <v>-5.4535797063693296</v>
      </c>
      <c r="F395" s="304">
        <f t="shared" ca="1" si="184"/>
        <v>5.5266629707652584</v>
      </c>
      <c r="G395" s="306">
        <f t="shared" ca="1" si="185"/>
        <v>14.594827632740282</v>
      </c>
      <c r="H395" s="307">
        <f t="shared" ca="1" si="186"/>
        <v>-71.957373341090786</v>
      </c>
      <c r="I395" s="304">
        <f t="shared" ca="1" si="187"/>
        <v>73.4225617353312</v>
      </c>
      <c r="J395" s="306">
        <f t="shared" ca="1" si="188"/>
        <v>594.60841555515856</v>
      </c>
      <c r="K395" s="307">
        <f t="shared" ca="1" si="189"/>
        <v>1115.1593927337885</v>
      </c>
      <c r="L395" s="304">
        <f t="shared" ca="1" si="174"/>
        <v>1263.7799013480981</v>
      </c>
      <c r="M395" s="306">
        <f t="shared" ca="1" si="190"/>
        <v>-1.3706849228261264</v>
      </c>
      <c r="N395" s="304">
        <f t="shared" ca="1" si="191"/>
        <v>-78.534461120152002</v>
      </c>
      <c r="P395" s="310">
        <f t="shared" ca="1" si="192"/>
        <v>23</v>
      </c>
      <c r="Q395" s="304">
        <f t="shared" ca="1" si="193"/>
        <v>0</v>
      </c>
      <c r="R395" s="306">
        <f t="shared" ca="1" si="194"/>
        <v>0</v>
      </c>
      <c r="S395" s="307">
        <f t="shared" ca="1" si="195"/>
        <v>2.6792999999999987</v>
      </c>
      <c r="T395" s="304">
        <f t="shared" ca="1" si="175"/>
        <v>26.283932999999987</v>
      </c>
      <c r="U395" s="311">
        <f t="shared" ca="1" si="176"/>
        <v>0</v>
      </c>
      <c r="V395" s="306">
        <f t="shared" ca="1" si="177"/>
        <v>1.0956076302157598</v>
      </c>
      <c r="W395" s="304">
        <f t="shared" ca="1" si="178"/>
        <v>12.094473960009292</v>
      </c>
      <c r="Y395" s="314" t="str">
        <f t="shared" ca="1" si="196"/>
        <v/>
      </c>
      <c r="Z395" s="315" t="str">
        <f t="shared" ca="1" si="197"/>
        <v/>
      </c>
      <c r="AA395" s="316" t="str">
        <f t="shared" ca="1" si="198"/>
        <v/>
      </c>
      <c r="AC395" s="310" t="e">
        <f t="shared" ca="1" si="199"/>
        <v>#N/A</v>
      </c>
      <c r="AD395" s="323" t="e">
        <f t="shared" ca="1" si="200"/>
        <v>#N/A</v>
      </c>
      <c r="AE395" s="324" t="e">
        <f t="shared" ca="1" si="179"/>
        <v>#N/A</v>
      </c>
      <c r="AG395" s="306">
        <f t="shared" ca="1" si="201"/>
        <v>5.161384449746012</v>
      </c>
      <c r="AH395" s="304">
        <f t="shared" ca="1" si="202"/>
        <v>-4.447568971186576</v>
      </c>
    </row>
    <row r="396" spans="1:34" x14ac:dyDescent="0.2">
      <c r="A396" s="347">
        <f t="shared" ca="1" si="180"/>
        <v>0.1</v>
      </c>
      <c r="B396" s="304">
        <f t="shared" ca="1" si="181"/>
        <v>24.400000000000038</v>
      </c>
      <c r="D396" s="306">
        <f t="shared" ca="1" si="182"/>
        <v>-0.89729464699612094</v>
      </c>
      <c r="E396" s="307">
        <f t="shared" ca="1" si="183"/>
        <v>-5.3860377898523195</v>
      </c>
      <c r="F396" s="304">
        <f t="shared" ca="1" si="184"/>
        <v>5.4602692934730932</v>
      </c>
      <c r="G396" s="306">
        <f t="shared" ca="1" si="185"/>
        <v>14.50509816804067</v>
      </c>
      <c r="H396" s="307">
        <f t="shared" ca="1" si="186"/>
        <v>-72.49597712007602</v>
      </c>
      <c r="I396" s="304">
        <f t="shared" ca="1" si="187"/>
        <v>73.932838248366224</v>
      </c>
      <c r="J396" s="306">
        <f t="shared" ca="1" si="188"/>
        <v>596.06341184519761</v>
      </c>
      <c r="K396" s="307">
        <f t="shared" ca="1" si="189"/>
        <v>1107.9367252107302</v>
      </c>
      <c r="L396" s="304">
        <f t="shared" ca="1" si="174"/>
        <v>1258.0999078019258</v>
      </c>
      <c r="M396" s="306">
        <f t="shared" ca="1" si="190"/>
        <v>-1.3733224780970834</v>
      </c>
      <c r="N396" s="304">
        <f t="shared" ca="1" si="191"/>
        <v>-78.685581905410316</v>
      </c>
      <c r="P396" s="310">
        <f t="shared" ca="1" si="192"/>
        <v>23</v>
      </c>
      <c r="Q396" s="304">
        <f t="shared" ca="1" si="193"/>
        <v>0</v>
      </c>
      <c r="R396" s="306">
        <f t="shared" ca="1" si="194"/>
        <v>0</v>
      </c>
      <c r="S396" s="307">
        <f t="shared" ca="1" si="195"/>
        <v>2.6792999999999987</v>
      </c>
      <c r="T396" s="304">
        <f t="shared" ca="1" si="175"/>
        <v>26.283932999999987</v>
      </c>
      <c r="U396" s="311">
        <f t="shared" ca="1" si="176"/>
        <v>0</v>
      </c>
      <c r="V396" s="306">
        <f t="shared" ca="1" si="177"/>
        <v>1.0964016906482277</v>
      </c>
      <c r="W396" s="304">
        <f t="shared" ca="1" si="178"/>
        <v>12.272055868868863</v>
      </c>
      <c r="Y396" s="314" t="str">
        <f t="shared" ca="1" si="196"/>
        <v/>
      </c>
      <c r="Z396" s="315" t="str">
        <f t="shared" ca="1" si="197"/>
        <v/>
      </c>
      <c r="AA396" s="316" t="str">
        <f t="shared" ca="1" si="198"/>
        <v/>
      </c>
      <c r="AC396" s="310" t="e">
        <f t="shared" ca="1" si="199"/>
        <v>#N/A</v>
      </c>
      <c r="AD396" s="323" t="e">
        <f t="shared" ca="1" si="200"/>
        <v>#N/A</v>
      </c>
      <c r="AE396" s="324" t="e">
        <f t="shared" ca="1" si="179"/>
        <v>#N/A</v>
      </c>
      <c r="AG396" s="306">
        <f t="shared" ca="1" si="201"/>
        <v>5.1001934897722574</v>
      </c>
      <c r="AH396" s="304">
        <f t="shared" ca="1" si="202"/>
        <v>-4.5140424588546626</v>
      </c>
    </row>
    <row r="397" spans="1:34" x14ac:dyDescent="0.2">
      <c r="A397" s="347">
        <f t="shared" ca="1" si="180"/>
        <v>0.1</v>
      </c>
      <c r="B397" s="304">
        <f t="shared" ca="1" si="181"/>
        <v>24.500000000000039</v>
      </c>
      <c r="D397" s="306">
        <f t="shared" ca="1" si="182"/>
        <v>-0.89862660677497319</v>
      </c>
      <c r="E397" s="307">
        <f t="shared" ca="1" si="183"/>
        <v>-5.3186954138794418</v>
      </c>
      <c r="F397" s="304">
        <f t="shared" ca="1" si="184"/>
        <v>5.3940755170859545</v>
      </c>
      <c r="G397" s="306">
        <f t="shared" ca="1" si="185"/>
        <v>14.415235507363173</v>
      </c>
      <c r="H397" s="307">
        <f t="shared" ca="1" si="186"/>
        <v>-73.027846661463968</v>
      </c>
      <c r="I397" s="304">
        <f t="shared" ca="1" si="187"/>
        <v>74.436989479310867</v>
      </c>
      <c r="J397" s="306">
        <f t="shared" ca="1" si="188"/>
        <v>597.50942852896776</v>
      </c>
      <c r="K397" s="307">
        <f t="shared" ca="1" si="189"/>
        <v>1100.6605340216531</v>
      </c>
      <c r="L397" s="304">
        <f t="shared" ca="1" si="174"/>
        <v>1252.3861738033697</v>
      </c>
      <c r="M397" s="306">
        <f t="shared" ca="1" si="190"/>
        <v>-1.3759080938468355</v>
      </c>
      <c r="N397" s="304">
        <f t="shared" ca="1" si="191"/>
        <v>-78.833726775313664</v>
      </c>
      <c r="P397" s="310">
        <f t="shared" ca="1" si="192"/>
        <v>23</v>
      </c>
      <c r="Q397" s="304">
        <f t="shared" ca="1" si="193"/>
        <v>0</v>
      </c>
      <c r="R397" s="306">
        <f t="shared" ca="1" si="194"/>
        <v>0</v>
      </c>
      <c r="S397" s="307">
        <f t="shared" ca="1" si="195"/>
        <v>2.6792999999999987</v>
      </c>
      <c r="T397" s="304">
        <f t="shared" ca="1" si="175"/>
        <v>26.283932999999987</v>
      </c>
      <c r="U397" s="311">
        <f t="shared" ca="1" si="176"/>
        <v>0</v>
      </c>
      <c r="V397" s="306">
        <f t="shared" ca="1" si="177"/>
        <v>1.0972021851398845</v>
      </c>
      <c r="W397" s="304">
        <f t="shared" ca="1" si="178"/>
        <v>12.449076445432373</v>
      </c>
      <c r="Y397" s="314" t="str">
        <f t="shared" ca="1" si="196"/>
        <v/>
      </c>
      <c r="Z397" s="315" t="str">
        <f t="shared" ca="1" si="197"/>
        <v/>
      </c>
      <c r="AA397" s="316" t="str">
        <f t="shared" ca="1" si="198"/>
        <v/>
      </c>
      <c r="AC397" s="310" t="e">
        <f t="shared" ca="1" si="199"/>
        <v>#N/A</v>
      </c>
      <c r="AD397" s="323" t="e">
        <f t="shared" ca="1" si="200"/>
        <v>#N/A</v>
      </c>
      <c r="AE397" s="324" t="e">
        <f t="shared" ca="1" si="179"/>
        <v>#N/A</v>
      </c>
      <c r="AG397" s="306">
        <f t="shared" ca="1" si="201"/>
        <v>5.0390241023082272</v>
      </c>
      <c r="AH397" s="304">
        <f t="shared" ca="1" si="202"/>
        <v>-4.5803216768815993</v>
      </c>
    </row>
    <row r="398" spans="1:34" x14ac:dyDescent="0.2">
      <c r="A398" s="347">
        <f t="shared" ca="1" si="180"/>
        <v>0.1</v>
      </c>
      <c r="B398" s="304">
        <f t="shared" ca="1" si="181"/>
        <v>24.600000000000041</v>
      </c>
      <c r="D398" s="306">
        <f t="shared" ca="1" si="182"/>
        <v>-0.89980568241108605</v>
      </c>
      <c r="E398" s="307">
        <f t="shared" ca="1" si="183"/>
        <v>-5.251567960047117</v>
      </c>
      <c r="F398" s="304">
        <f t="shared" ca="1" si="184"/>
        <v>5.3280968745972253</v>
      </c>
      <c r="G398" s="306">
        <f t="shared" ca="1" si="185"/>
        <v>14.325254939122065</v>
      </c>
      <c r="H398" s="307">
        <f t="shared" ca="1" si="186"/>
        <v>-73.553003457468677</v>
      </c>
      <c r="I398" s="304">
        <f t="shared" ca="1" si="187"/>
        <v>74.935020162039322</v>
      </c>
      <c r="J398" s="306">
        <f t="shared" ca="1" si="188"/>
        <v>598.946453051292</v>
      </c>
      <c r="K398" s="307">
        <f t="shared" ca="1" si="189"/>
        <v>1093.3314915157066</v>
      </c>
      <c r="L398" s="304">
        <f t="shared" ca="1" si="174"/>
        <v>1246.6397250058587</v>
      </c>
      <c r="M398" s="306">
        <f t="shared" ca="1" si="190"/>
        <v>-1.378443325134316</v>
      </c>
      <c r="N398" s="304">
        <f t="shared" ca="1" si="191"/>
        <v>-78.978984828175811</v>
      </c>
      <c r="P398" s="310">
        <f t="shared" ca="1" si="192"/>
        <v>23</v>
      </c>
      <c r="Q398" s="304">
        <f t="shared" ca="1" si="193"/>
        <v>0</v>
      </c>
      <c r="R398" s="306">
        <f t="shared" ca="1" si="194"/>
        <v>0</v>
      </c>
      <c r="S398" s="307">
        <f t="shared" ca="1" si="195"/>
        <v>2.6792999999999987</v>
      </c>
      <c r="T398" s="304">
        <f t="shared" ca="1" si="175"/>
        <v>26.283932999999987</v>
      </c>
      <c r="U398" s="311">
        <f t="shared" ca="1" si="176"/>
        <v>0</v>
      </c>
      <c r="V398" s="306">
        <f t="shared" ca="1" si="177"/>
        <v>1.0980090523969195</v>
      </c>
      <c r="W398" s="304">
        <f t="shared" ca="1" si="178"/>
        <v>12.625495953257385</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4.9778986427003042</v>
      </c>
      <c r="AH398" s="304">
        <f t="shared" ca="1" si="202"/>
        <v>-4.6463913878372631</v>
      </c>
    </row>
    <row r="399" spans="1:34" x14ac:dyDescent="0.2">
      <c r="A399" s="347">
        <f t="shared" ca="1" si="180"/>
        <v>0.1</v>
      </c>
      <c r="B399" s="304">
        <f t="shared" ca="1" si="181"/>
        <v>24.700000000000042</v>
      </c>
      <c r="D399" s="306">
        <f t="shared" ca="1" si="182"/>
        <v>-0.9008337194844005</v>
      </c>
      <c r="E399" s="307">
        <f t="shared" ca="1" si="183"/>
        <v>-5.1846704009512568</v>
      </c>
      <c r="F399" s="304">
        <f t="shared" ca="1" si="184"/>
        <v>5.2623481979682953</v>
      </c>
      <c r="G399" s="306">
        <f t="shared" ca="1" si="185"/>
        <v>14.235171567173625</v>
      </c>
      <c r="H399" s="307">
        <f t="shared" ca="1" si="186"/>
        <v>-74.071470497563809</v>
      </c>
      <c r="I399" s="304">
        <f t="shared" ca="1" si="187"/>
        <v>75.426937172460697</v>
      </c>
      <c r="J399" s="306">
        <f t="shared" ca="1" si="188"/>
        <v>600.37447437660683</v>
      </c>
      <c r="K399" s="307">
        <f t="shared" ca="1" si="189"/>
        <v>1085.9502678179549</v>
      </c>
      <c r="L399" s="304">
        <f t="shared" ca="1" si="174"/>
        <v>1240.8615932717375</v>
      </c>
      <c r="M399" s="306">
        <f t="shared" ca="1" si="190"/>
        <v>-1.3809296651124225</v>
      </c>
      <c r="N399" s="304">
        <f t="shared" ca="1" si="191"/>
        <v>-79.121441615355977</v>
      </c>
      <c r="P399" s="310">
        <f t="shared" ca="1" si="192"/>
        <v>23</v>
      </c>
      <c r="Q399" s="304">
        <f t="shared" ca="1" si="193"/>
        <v>0</v>
      </c>
      <c r="R399" s="306">
        <f t="shared" ca="1" si="194"/>
        <v>0</v>
      </c>
      <c r="S399" s="307">
        <f t="shared" ca="1" si="195"/>
        <v>2.6792999999999987</v>
      </c>
      <c r="T399" s="304">
        <f t="shared" ca="1" si="175"/>
        <v>26.283932999999987</v>
      </c>
      <c r="U399" s="311">
        <f t="shared" ca="1" si="176"/>
        <v>0</v>
      </c>
      <c r="V399" s="306">
        <f t="shared" ca="1" si="177"/>
        <v>1.0988222312790592</v>
      </c>
      <c r="W399" s="304">
        <f t="shared" ca="1" si="178"/>
        <v>12.801275746447466</v>
      </c>
      <c r="Y399" s="314" t="str">
        <f t="shared" ca="1" si="196"/>
        <v/>
      </c>
      <c r="Z399" s="315" t="str">
        <f t="shared" ca="1" si="197"/>
        <v/>
      </c>
      <c r="AA399" s="316" t="str">
        <f t="shared" ca="1" si="198"/>
        <v/>
      </c>
      <c r="AC399" s="310" t="e">
        <f t="shared" ca="1" si="199"/>
        <v>#N/A</v>
      </c>
      <c r="AD399" s="323" t="e">
        <f t="shared" ca="1" si="200"/>
        <v>#N/A</v>
      </c>
      <c r="AE399" s="324" t="e">
        <f t="shared" ca="1" si="179"/>
        <v>#N/A</v>
      </c>
      <c r="AG399" s="306">
        <f t="shared" ca="1" si="201"/>
        <v>4.9168387015965358</v>
      </c>
      <c r="AH399" s="304">
        <f t="shared" ca="1" si="202"/>
        <v>-4.7122367608171505</v>
      </c>
    </row>
    <row r="400" spans="1:34" x14ac:dyDescent="0.2">
      <c r="A400" s="347">
        <f t="shared" ca="1" si="180"/>
        <v>0.1</v>
      </c>
      <c r="B400" s="304">
        <f t="shared" ca="1" si="181"/>
        <v>24.800000000000043</v>
      </c>
      <c r="D400" s="306">
        <f t="shared" ca="1" si="182"/>
        <v>-0.90171260653452157</v>
      </c>
      <c r="E400" s="307">
        <f t="shared" ca="1" si="183"/>
        <v>-5.1180172994736566</v>
      </c>
      <c r="F400" s="304">
        <f t="shared" ca="1" si="184"/>
        <v>5.1968439174651859</v>
      </c>
      <c r="G400" s="306">
        <f t="shared" ca="1" si="185"/>
        <v>14.145000306520172</v>
      </c>
      <c r="H400" s="307">
        <f t="shared" ca="1" si="186"/>
        <v>-74.583272227511173</v>
      </c>
      <c r="I400" s="304">
        <f t="shared" ca="1" si="187"/>
        <v>75.912749455111253</v>
      </c>
      <c r="J400" s="306">
        <f t="shared" ca="1" si="188"/>
        <v>601.79348297029151</v>
      </c>
      <c r="K400" s="307">
        <f t="shared" ca="1" si="189"/>
        <v>1078.5175306817011</v>
      </c>
      <c r="L400" s="304">
        <f t="shared" ca="1" si="174"/>
        <v>1235.0528167383243</v>
      </c>
      <c r="M400" s="306">
        <f t="shared" ca="1" si="190"/>
        <v>-1.3833685480173514</v>
      </c>
      <c r="N400" s="304">
        <f t="shared" ca="1" si="191"/>
        <v>-79.261179312535006</v>
      </c>
      <c r="P400" s="310">
        <f t="shared" ca="1" si="192"/>
        <v>23</v>
      </c>
      <c r="Q400" s="304">
        <f t="shared" ca="1" si="193"/>
        <v>0</v>
      </c>
      <c r="R400" s="306">
        <f t="shared" ca="1" si="194"/>
        <v>0</v>
      </c>
      <c r="S400" s="307">
        <f t="shared" ca="1" si="195"/>
        <v>2.6792999999999987</v>
      </c>
      <c r="T400" s="304">
        <f t="shared" ca="1" si="175"/>
        <v>26.283932999999987</v>
      </c>
      <c r="U400" s="311">
        <f t="shared" ca="1" si="176"/>
        <v>0</v>
      </c>
      <c r="V400" s="306">
        <f t="shared" ca="1" si="177"/>
        <v>1.0996416608130075</v>
      </c>
      <c r="W400" s="304">
        <f t="shared" ca="1" si="178"/>
        <v>12.976378269924387</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4.8558651255881697</v>
      </c>
      <c r="AH400" s="304">
        <f t="shared" ca="1" si="202"/>
        <v>-4.777843371943221</v>
      </c>
    </row>
    <row r="401" spans="1:34" x14ac:dyDescent="0.2">
      <c r="A401" s="347">
        <f t="shared" ca="1" si="180"/>
        <v>0.1</v>
      </c>
      <c r="B401" s="304">
        <f t="shared" ca="1" si="181"/>
        <v>24.900000000000045</v>
      </c>
      <c r="D401" s="306">
        <f t="shared" ca="1" si="182"/>
        <v>-0.90244427231833557</v>
      </c>
      <c r="E401" s="307">
        <f t="shared" ca="1" si="183"/>
        <v>-5.0516228084879415</v>
      </c>
      <c r="F401" s="304">
        <f t="shared" ca="1" si="184"/>
        <v>5.1315980614108669</v>
      </c>
      <c r="G401" s="306">
        <f t="shared" ca="1" si="185"/>
        <v>14.054755879288338</v>
      </c>
      <c r="H401" s="307">
        <f t="shared" ca="1" si="186"/>
        <v>-75.088434508359967</v>
      </c>
      <c r="I401" s="304">
        <f t="shared" ca="1" si="187"/>
        <v>76.392467951642018</v>
      </c>
      <c r="J401" s="306">
        <f t="shared" ca="1" si="188"/>
        <v>603.20347077958195</v>
      </c>
      <c r="K401" s="307">
        <f t="shared" ca="1" si="189"/>
        <v>1071.0339453449076</v>
      </c>
      <c r="L401" s="304">
        <f t="shared" ca="1" si="174"/>
        <v>1229.2144398930614</v>
      </c>
      <c r="M401" s="306">
        <f t="shared" ca="1" si="190"/>
        <v>-1.3857613519901428</v>
      </c>
      <c r="N401" s="304">
        <f t="shared" ca="1" si="191"/>
        <v>-79.398276881378081</v>
      </c>
      <c r="P401" s="310">
        <f t="shared" ca="1" si="192"/>
        <v>23</v>
      </c>
      <c r="Q401" s="304">
        <f t="shared" ca="1" si="193"/>
        <v>0</v>
      </c>
      <c r="R401" s="306">
        <f t="shared" ca="1" si="194"/>
        <v>0</v>
      </c>
      <c r="S401" s="307">
        <f t="shared" ca="1" si="195"/>
        <v>2.6792999999999987</v>
      </c>
      <c r="T401" s="304">
        <f t="shared" ca="1" si="175"/>
        <v>26.283932999999987</v>
      </c>
      <c r="U401" s="311">
        <f t="shared" ca="1" si="176"/>
        <v>0</v>
      </c>
      <c r="V401" s="306">
        <f t="shared" ca="1" si="177"/>
        <v>1.100467280205548</v>
      </c>
      <c r="W401" s="304">
        <f t="shared" ca="1" si="178"/>
        <v>13.150767058663256</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4.7949980368296599</v>
      </c>
      <c r="AH401" s="304">
        <f t="shared" ca="1" si="202"/>
        <v>-4.8431972044654925</v>
      </c>
    </row>
    <row r="402" spans="1:34" x14ac:dyDescent="0.2">
      <c r="A402" s="347">
        <f t="shared" ca="1" si="180"/>
        <v>0.1</v>
      </c>
      <c r="B402" s="304">
        <f t="shared" ca="1" si="181"/>
        <v>25.000000000000046</v>
      </c>
      <c r="D402" s="306">
        <f t="shared" ca="1" si="182"/>
        <v>-0.90303068313050805</v>
      </c>
      <c r="E402" s="307">
        <f t="shared" ca="1" si="183"/>
        <v>-4.9855006709715912</v>
      </c>
      <c r="F402" s="304">
        <f t="shared" ca="1" si="184"/>
        <v>5.066624256340047</v>
      </c>
      <c r="G402" s="306">
        <f t="shared" ca="1" si="185"/>
        <v>13.964452810975287</v>
      </c>
      <c r="H402" s="307">
        <f t="shared" ca="1" si="186"/>
        <v>-75.586984575457123</v>
      </c>
      <c r="I402" s="304">
        <f t="shared" ca="1" si="187"/>
        <v>76.866105531113959</v>
      </c>
      <c r="J402" s="306">
        <f t="shared" ca="1" si="188"/>
        <v>604.60443121409514</v>
      </c>
      <c r="K402" s="307">
        <f t="shared" ca="1" si="189"/>
        <v>1063.5001743907167</v>
      </c>
      <c r="L402" s="304">
        <f t="shared" ca="1" si="174"/>
        <v>1223.347513657834</v>
      </c>
      <c r="M402" s="306">
        <f t="shared" ca="1" si="190"/>
        <v>-1.3881094017410842</v>
      </c>
      <c r="N402" s="304">
        <f t="shared" ca="1" si="191"/>
        <v>-79.532810222193774</v>
      </c>
      <c r="P402" s="310">
        <f t="shared" ca="1" si="192"/>
        <v>23</v>
      </c>
      <c r="Q402" s="304">
        <f t="shared" ca="1" si="193"/>
        <v>0</v>
      </c>
      <c r="R402" s="306">
        <f t="shared" ca="1" si="194"/>
        <v>0</v>
      </c>
      <c r="S402" s="307">
        <f t="shared" ca="1" si="195"/>
        <v>2.6792999999999987</v>
      </c>
      <c r="T402" s="304">
        <f t="shared" ca="1" si="175"/>
        <v>26.283932999999987</v>
      </c>
      <c r="U402" s="311">
        <f t="shared" ca="1" si="176"/>
        <v>0</v>
      </c>
      <c r="V402" s="306">
        <f t="shared" ca="1" si="177"/>
        <v>1.1012990288563176</v>
      </c>
      <c r="W402" s="304">
        <f t="shared" ca="1" si="178"/>
        <v>13.324406735924113</v>
      </c>
      <c r="Y402" s="314" t="str">
        <f t="shared" ca="1" si="196"/>
        <v/>
      </c>
      <c r="Z402" s="315" t="str">
        <f t="shared" ca="1" si="197"/>
        <v/>
      </c>
      <c r="AA402" s="316" t="str">
        <f t="shared" ca="1" si="198"/>
        <v/>
      </c>
      <c r="AC402" s="310">
        <f t="shared" ca="1" si="199"/>
        <v>25.000000000000046</v>
      </c>
      <c r="AD402" s="323">
        <f t="shared" ca="1" si="200"/>
        <v>604.60443121409514</v>
      </c>
      <c r="AE402" s="324" t="e">
        <f t="shared" ca="1" si="179"/>
        <v>#N/A</v>
      </c>
      <c r="AG402" s="306">
        <f t="shared" ca="1" si="201"/>
        <v>4.7342568517313479</v>
      </c>
      <c r="AH402" s="304">
        <f t="shared" ca="1" si="202"/>
        <v>-4.9082846484765659</v>
      </c>
    </row>
    <row r="403" spans="1:34" x14ac:dyDescent="0.2">
      <c r="A403" s="347">
        <f t="shared" ca="1" si="180"/>
        <v>0.1</v>
      </c>
      <c r="B403" s="304">
        <f t="shared" ca="1" si="181"/>
        <v>25.100000000000048</v>
      </c>
      <c r="D403" s="306">
        <f t="shared" ca="1" si="182"/>
        <v>-0.90347384018653065</v>
      </c>
      <c r="E403" s="307">
        <f t="shared" ca="1" si="183"/>
        <v>-4.9196642205102794</v>
      </c>
      <c r="F403" s="304">
        <f t="shared" ca="1" si="184"/>
        <v>5.0019357275429295</v>
      </c>
      <c r="G403" s="306">
        <f t="shared" ca="1" si="185"/>
        <v>13.874105426956634</v>
      </c>
      <c r="H403" s="307">
        <f t="shared" ca="1" si="186"/>
        <v>-76.078950997508144</v>
      </c>
      <c r="I403" s="304">
        <f t="shared" ca="1" si="187"/>
        <v>77.333676922021183</v>
      </c>
      <c r="J403" s="306">
        <f t="shared" ca="1" si="188"/>
        <v>605.99635912599172</v>
      </c>
      <c r="K403" s="307">
        <f t="shared" ca="1" si="189"/>
        <v>1055.9168776120684</v>
      </c>
      <c r="L403" s="304">
        <f t="shared" ca="1" si="174"/>
        <v>1217.4530954825232</v>
      </c>
      <c r="M403" s="306">
        <f t="shared" ca="1" si="190"/>
        <v>-1.3904139710668617</v>
      </c>
      <c r="N403" s="304">
        <f t="shared" ca="1" si="191"/>
        <v>-79.664852318156136</v>
      </c>
      <c r="P403" s="310">
        <f t="shared" ca="1" si="192"/>
        <v>23</v>
      </c>
      <c r="Q403" s="304">
        <f t="shared" ca="1" si="193"/>
        <v>0</v>
      </c>
      <c r="R403" s="306">
        <f t="shared" ca="1" si="194"/>
        <v>0</v>
      </c>
      <c r="S403" s="307">
        <f t="shared" ca="1" si="195"/>
        <v>2.6792999999999987</v>
      </c>
      <c r="T403" s="304">
        <f t="shared" ca="1" si="175"/>
        <v>26.283932999999987</v>
      </c>
      <c r="U403" s="311">
        <f t="shared" ca="1" si="176"/>
        <v>0</v>
      </c>
      <c r="V403" s="306">
        <f t="shared" ca="1" si="177"/>
        <v>1.1021368463702372</v>
      </c>
      <c r="W403" s="304">
        <f t="shared" ca="1" si="178"/>
        <v>13.497263010513549</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4.6736602988099492</v>
      </c>
      <c r="AH403" s="304">
        <f t="shared" ca="1" si="202"/>
        <v>-4.9730925002516031</v>
      </c>
    </row>
    <row r="404" spans="1:34" x14ac:dyDescent="0.2">
      <c r="A404" s="347">
        <f t="shared" ca="1" si="180"/>
        <v>0.1</v>
      </c>
      <c r="B404" s="304">
        <f t="shared" ca="1" si="181"/>
        <v>25.200000000000049</v>
      </c>
      <c r="D404" s="306">
        <f t="shared" ca="1" si="182"/>
        <v>-0.90377577706805168</v>
      </c>
      <c r="E404" s="307">
        <f t="shared" ca="1" si="183"/>
        <v>-4.8541263821809002</v>
      </c>
      <c r="F404" s="304">
        <f t="shared" ca="1" si="184"/>
        <v>4.9375452999845573</v>
      </c>
      <c r="G404" s="306">
        <f t="shared" ca="1" si="185"/>
        <v>13.783727849249829</v>
      </c>
      <c r="H404" s="307">
        <f t="shared" ca="1" si="186"/>
        <v>-76.564363635726238</v>
      </c>
      <c r="I404" s="304">
        <f t="shared" ca="1" si="187"/>
        <v>77.795198645969819</v>
      </c>
      <c r="J404" s="306">
        <f t="shared" ca="1" si="188"/>
        <v>607.37925078980209</v>
      </c>
      <c r="K404" s="307">
        <f t="shared" ca="1" si="189"/>
        <v>1048.2847118804068</v>
      </c>
      <c r="L404" s="304">
        <f t="shared" ca="1" si="174"/>
        <v>1211.5322494478505</v>
      </c>
      <c r="M404" s="306">
        <f t="shared" ca="1" si="190"/>
        <v>-1.3926762852296721</v>
      </c>
      <c r="N404" s="304">
        <f t="shared" ca="1" si="191"/>
        <v>-79.79447337161784</v>
      </c>
      <c r="P404" s="310">
        <f t="shared" ca="1" si="192"/>
        <v>23</v>
      </c>
      <c r="Q404" s="304">
        <f t="shared" ca="1" si="193"/>
        <v>0</v>
      </c>
      <c r="R404" s="306">
        <f t="shared" ca="1" si="194"/>
        <v>0</v>
      </c>
      <c r="S404" s="307">
        <f t="shared" ca="1" si="195"/>
        <v>2.6792999999999987</v>
      </c>
      <c r="T404" s="304">
        <f t="shared" ca="1" si="175"/>
        <v>26.283932999999987</v>
      </c>
      <c r="U404" s="311">
        <f t="shared" ca="1" si="176"/>
        <v>0</v>
      </c>
      <c r="V404" s="306">
        <f t="shared" ca="1" si="177"/>
        <v>1.1029806725696107</v>
      </c>
      <c r="W404" s="304">
        <f t="shared" ca="1" si="178"/>
        <v>13.669302673110677</v>
      </c>
      <c r="Y404" s="314" t="str">
        <f t="shared" ca="1" si="196"/>
        <v/>
      </c>
      <c r="Z404" s="315" t="str">
        <f t="shared" ca="1" si="197"/>
        <v/>
      </c>
      <c r="AA404" s="316" t="str">
        <f t="shared" ca="1" si="198"/>
        <v/>
      </c>
      <c r="AC404" s="310" t="e">
        <f t="shared" ca="1" si="199"/>
        <v>#N/A</v>
      </c>
      <c r="AD404" s="323" t="e">
        <f t="shared" ca="1" si="200"/>
        <v>#N/A</v>
      </c>
      <c r="AE404" s="324" t="e">
        <f t="shared" ca="1" si="179"/>
        <v>#N/A</v>
      </c>
      <c r="AG404" s="306">
        <f t="shared" ca="1" si="201"/>
        <v>4.6132264357740835</v>
      </c>
      <c r="AH404" s="304">
        <f t="shared" ca="1" si="202"/>
        <v>-5.0376079612262741</v>
      </c>
    </row>
    <row r="405" spans="1:34" x14ac:dyDescent="0.2">
      <c r="A405" s="347">
        <f t="shared" ca="1" si="180"/>
        <v>0.1</v>
      </c>
      <c r="B405" s="304">
        <f t="shared" ca="1" si="181"/>
        <v>25.30000000000005</v>
      </c>
      <c r="D405" s="306">
        <f t="shared" ca="1" si="182"/>
        <v>-0.90393855723022398</v>
      </c>
      <c r="E405" s="307">
        <f t="shared" ca="1" si="183"/>
        <v>-4.7888996737994027</v>
      </c>
      <c r="F405" s="304">
        <f t="shared" ca="1" si="184"/>
        <v>4.8734653995861592</v>
      </c>
      <c r="G405" s="306">
        <f t="shared" ca="1" si="185"/>
        <v>13.693333993526807</v>
      </c>
      <c r="H405" s="307">
        <f t="shared" ca="1" si="186"/>
        <v>-77.04325360310618</v>
      </c>
      <c r="I405" s="304">
        <f t="shared" ca="1" si="187"/>
        <v>78.250688952946675</v>
      </c>
      <c r="J405" s="306">
        <f t="shared" ca="1" si="188"/>
        <v>608.75310388194089</v>
      </c>
      <c r="K405" s="307">
        <f t="shared" ca="1" si="189"/>
        <v>1040.6043310184652</v>
      </c>
      <c r="L405" s="304">
        <f t="shared" ca="1" si="174"/>
        <v>1205.5860463775634</v>
      </c>
      <c r="M405" s="306">
        <f t="shared" ca="1" si="190"/>
        <v>-1.3948975232068683</v>
      </c>
      <c r="N405" s="304">
        <f t="shared" ca="1" si="191"/>
        <v>-79.921740933005367</v>
      </c>
      <c r="P405" s="310">
        <f t="shared" ca="1" si="192"/>
        <v>23</v>
      </c>
      <c r="Q405" s="304">
        <f t="shared" ca="1" si="193"/>
        <v>0</v>
      </c>
      <c r="R405" s="306">
        <f t="shared" ca="1" si="194"/>
        <v>0</v>
      </c>
      <c r="S405" s="307">
        <f t="shared" ca="1" si="195"/>
        <v>2.6792999999999987</v>
      </c>
      <c r="T405" s="304">
        <f t="shared" ca="1" si="175"/>
        <v>26.283932999999987</v>
      </c>
      <c r="U405" s="311">
        <f t="shared" ca="1" si="176"/>
        <v>0</v>
      </c>
      <c r="V405" s="306">
        <f t="shared" ca="1" si="177"/>
        <v>1.1038304475058853</v>
      </c>
      <c r="W405" s="304">
        <f t="shared" ca="1" si="178"/>
        <v>13.840493591691656</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4.552972665914421</v>
      </c>
      <c r="AH405" s="304">
        <f t="shared" ca="1" si="202"/>
        <v>-5.1018186366254934</v>
      </c>
    </row>
    <row r="406" spans="1:34" x14ac:dyDescent="0.2">
      <c r="A406" s="347">
        <f t="shared" ca="1" si="180"/>
        <v>0.1</v>
      </c>
      <c r="B406" s="304">
        <f t="shared" ca="1" si="181"/>
        <v>25.400000000000052</v>
      </c>
      <c r="D406" s="306">
        <f t="shared" ca="1" si="182"/>
        <v>-0.90396427157081016</v>
      </c>
      <c r="E406" s="307">
        <f t="shared" ca="1" si="183"/>
        <v>-4.7239962075196757</v>
      </c>
      <c r="F406" s="304">
        <f t="shared" ca="1" si="184"/>
        <v>4.8097080548549744</v>
      </c>
      <c r="G406" s="306">
        <f t="shared" ca="1" si="185"/>
        <v>13.602937566369725</v>
      </c>
      <c r="H406" s="307">
        <f t="shared" ca="1" si="186"/>
        <v>-77.515653223858152</v>
      </c>
      <c r="I406" s="304">
        <f t="shared" ca="1" si="187"/>
        <v>78.700167758118425</v>
      </c>
      <c r="J406" s="306">
        <f t="shared" ca="1" si="188"/>
        <v>610.11791745993571</v>
      </c>
      <c r="K406" s="307">
        <f t="shared" ca="1" si="189"/>
        <v>1032.876385677117</v>
      </c>
      <c r="L406" s="304">
        <f t="shared" ca="1" si="174"/>
        <v>1199.615563960002</v>
      </c>
      <c r="M406" s="306">
        <f t="shared" ca="1" si="190"/>
        <v>-1.3970788198191142</v>
      </c>
      <c r="N406" s="304">
        <f t="shared" ca="1" si="191"/>
        <v>-80.046720022753235</v>
      </c>
      <c r="P406" s="310">
        <f t="shared" ca="1" si="192"/>
        <v>23</v>
      </c>
      <c r="Q406" s="304">
        <f t="shared" ca="1" si="193"/>
        <v>0</v>
      </c>
      <c r="R406" s="306">
        <f t="shared" ca="1" si="194"/>
        <v>0</v>
      </c>
      <c r="S406" s="307">
        <f t="shared" ca="1" si="195"/>
        <v>2.6792999999999987</v>
      </c>
      <c r="T406" s="304">
        <f t="shared" ca="1" si="175"/>
        <v>26.283932999999987</v>
      </c>
      <c r="U406" s="311">
        <f t="shared" ca="1" si="176"/>
        <v>0</v>
      </c>
      <c r="V406" s="306">
        <f t="shared" ca="1" si="177"/>
        <v>1.1046861114710786</v>
      </c>
      <c r="W406" s="304">
        <f t="shared" ca="1" si="178"/>
        <v>14.01080470608761</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4.492915753861574</v>
      </c>
      <c r="AH406" s="304">
        <f t="shared" ca="1" si="202"/>
        <v>-5.1657125337557055</v>
      </c>
    </row>
    <row r="407" spans="1:34" x14ac:dyDescent="0.2">
      <c r="A407" s="347">
        <f t="shared" ca="1" si="180"/>
        <v>0.1</v>
      </c>
      <c r="B407" s="304">
        <f t="shared" ca="1" si="181"/>
        <v>25.500000000000053</v>
      </c>
      <c r="D407" s="306">
        <f t="shared" ca="1" si="182"/>
        <v>-0.90385503606085793</v>
      </c>
      <c r="E407" s="307">
        <f t="shared" ca="1" si="183"/>
        <v>-4.6594276917695794</v>
      </c>
      <c r="F407" s="304">
        <f t="shared" ca="1" si="184"/>
        <v>4.7462848988489688</v>
      </c>
      <c r="G407" s="306">
        <f t="shared" ca="1" si="185"/>
        <v>13.512552062763639</v>
      </c>
      <c r="H407" s="307">
        <f t="shared" ca="1" si="186"/>
        <v>-77.981595993035114</v>
      </c>
      <c r="I407" s="304">
        <f t="shared" ca="1" si="187"/>
        <v>79.143656580106594</v>
      </c>
      <c r="J407" s="306">
        <f t="shared" ca="1" si="188"/>
        <v>611.47369194139242</v>
      </c>
      <c r="K407" s="307">
        <f t="shared" ca="1" si="189"/>
        <v>1025.1015232162724</v>
      </c>
      <c r="L407" s="304">
        <f t="shared" ca="1" si="174"/>
        <v>1193.6218868790731</v>
      </c>
      <c r="M407" s="306">
        <f t="shared" ca="1" si="190"/>
        <v>-1.3992212677444951</v>
      </c>
      <c r="N407" s="304">
        <f t="shared" ca="1" si="191"/>
        <v>-80.169473246704115</v>
      </c>
      <c r="P407" s="310">
        <f t="shared" ca="1" si="192"/>
        <v>23</v>
      </c>
      <c r="Q407" s="304">
        <f t="shared" ca="1" si="193"/>
        <v>0</v>
      </c>
      <c r="R407" s="306">
        <f t="shared" ca="1" si="194"/>
        <v>0</v>
      </c>
      <c r="S407" s="307">
        <f t="shared" ca="1" si="195"/>
        <v>2.6792999999999987</v>
      </c>
      <c r="T407" s="304">
        <f t="shared" ca="1" si="175"/>
        <v>26.283932999999987</v>
      </c>
      <c r="U407" s="311">
        <f t="shared" ca="1" si="176"/>
        <v>0</v>
      </c>
      <c r="V407" s="306">
        <f t="shared" ca="1" si="177"/>
        <v>1.1055476050088688</v>
      </c>
      <c r="W407" s="304">
        <f t="shared" ca="1" si="178"/>
        <v>14.180206021710358</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4.4330718407684477</v>
      </c>
      <c r="AH407" s="304">
        <f t="shared" ca="1" si="202"/>
        <v>-5.2292780599737307</v>
      </c>
    </row>
    <row r="408" spans="1:34" x14ac:dyDescent="0.2">
      <c r="A408" s="347">
        <f t="shared" ca="1" si="180"/>
        <v>0.1</v>
      </c>
      <c r="B408" s="304">
        <f t="shared" ca="1" si="181"/>
        <v>25.600000000000055</v>
      </c>
      <c r="D408" s="306">
        <f t="shared" ca="1" si="182"/>
        <v>-0.90361298943664958</v>
      </c>
      <c r="E408" s="307">
        <f t="shared" ca="1" si="183"/>
        <v>-4.595205433510408</v>
      </c>
      <c r="F408" s="304">
        <f t="shared" ca="1" si="184"/>
        <v>4.6832071714629731</v>
      </c>
      <c r="G408" s="306">
        <f t="shared" ca="1" si="185"/>
        <v>13.422190763819975</v>
      </c>
      <c r="H408" s="307">
        <f t="shared" ca="1" si="186"/>
        <v>-78.441116536386161</v>
      </c>
      <c r="I408" s="304">
        <f t="shared" ca="1" si="187"/>
        <v>79.581178480689061</v>
      </c>
      <c r="J408" s="306">
        <f t="shared" ca="1" si="188"/>
        <v>612.8204290827216</v>
      </c>
      <c r="K408" s="307">
        <f t="shared" ca="1" si="189"/>
        <v>1017.2803875898013</v>
      </c>
      <c r="L408" s="304">
        <f t="shared" ca="1" si="174"/>
        <v>1187.6061069546533</v>
      </c>
      <c r="M408" s="306">
        <f t="shared" ca="1" si="190"/>
        <v>-1.4013259194255077</v>
      </c>
      <c r="N408" s="304">
        <f t="shared" ca="1" si="191"/>
        <v>-80.290060905371249</v>
      </c>
      <c r="P408" s="310">
        <f t="shared" ca="1" si="192"/>
        <v>23</v>
      </c>
      <c r="Q408" s="304">
        <f t="shared" ca="1" si="193"/>
        <v>0</v>
      </c>
      <c r="R408" s="306">
        <f t="shared" ca="1" si="194"/>
        <v>0</v>
      </c>
      <c r="S408" s="307">
        <f t="shared" ca="1" si="195"/>
        <v>2.6792999999999987</v>
      </c>
      <c r="T408" s="304">
        <f t="shared" ca="1" si="175"/>
        <v>26.283932999999987</v>
      </c>
      <c r="U408" s="311">
        <f t="shared" ca="1" si="176"/>
        <v>0</v>
      </c>
      <c r="V408" s="306">
        <f t="shared" ca="1" si="177"/>
        <v>1.1064148689253497</v>
      </c>
      <c r="W408" s="304">
        <f t="shared" ca="1" si="178"/>
        <v>14.348668602480844</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4.3734564589685538</v>
      </c>
      <c r="AH408" s="304">
        <f t="shared" ca="1" si="202"/>
        <v>-5.2925040203450022</v>
      </c>
    </row>
    <row r="409" spans="1:34" x14ac:dyDescent="0.2">
      <c r="A409" s="347">
        <f t="shared" ca="1" si="180"/>
        <v>0.1</v>
      </c>
      <c r="B409" s="304">
        <f t="shared" ca="1" si="181"/>
        <v>25.700000000000056</v>
      </c>
      <c r="D409" s="306">
        <f t="shared" ca="1" si="182"/>
        <v>-0.90324029095274116</v>
      </c>
      <c r="E409" s="307">
        <f t="shared" ca="1" si="183"/>
        <v>-4.5313403408059614</v>
      </c>
      <c r="F409" s="304">
        <f t="shared" ca="1" si="184"/>
        <v>4.6204857220227273</v>
      </c>
      <c r="G409" s="306">
        <f t="shared" ca="1" si="185"/>
        <v>13.3318667347247</v>
      </c>
      <c r="H409" s="307">
        <f t="shared" ca="1" si="186"/>
        <v>-78.894250570466752</v>
      </c>
      <c r="I409" s="304">
        <f t="shared" ca="1" si="187"/>
        <v>80.01275800588337</v>
      </c>
      <c r="J409" s="306">
        <f t="shared" ca="1" si="188"/>
        <v>614.15813195764883</v>
      </c>
      <c r="K409" s="307">
        <f t="shared" ca="1" si="189"/>
        <v>1009.4136192344587</v>
      </c>
      <c r="L409" s="304">
        <f t="shared" ca="1" si="174"/>
        <v>1181.5693232924243</v>
      </c>
      <c r="M409" s="306">
        <f t="shared" ca="1" si="190"/>
        <v>-1.4033937888754036</v>
      </c>
      <c r="N409" s="304">
        <f t="shared" ca="1" si="191"/>
        <v>-80.408541097434323</v>
      </c>
      <c r="P409" s="310">
        <f t="shared" ca="1" si="192"/>
        <v>23</v>
      </c>
      <c r="Q409" s="304">
        <f t="shared" ca="1" si="193"/>
        <v>0</v>
      </c>
      <c r="R409" s="306">
        <f t="shared" ca="1" si="194"/>
        <v>0</v>
      </c>
      <c r="S409" s="307">
        <f t="shared" ca="1" si="195"/>
        <v>2.6792999999999987</v>
      </c>
      <c r="T409" s="304">
        <f t="shared" ca="1" si="175"/>
        <v>26.283932999999987</v>
      </c>
      <c r="U409" s="311">
        <f t="shared" ca="1" si="176"/>
        <v>0</v>
      </c>
      <c r="V409" s="306">
        <f t="shared" ca="1" si="177"/>
        <v>1.1072878442994576</v>
      </c>
      <c r="W409" s="304">
        <f t="shared" ca="1" si="178"/>
        <v>14.516164562995082</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4.3140845461563648</v>
      </c>
      <c r="AH409" s="304">
        <f t="shared" ca="1" si="202"/>
        <v>-5.3553796150042361</v>
      </c>
    </row>
    <row r="410" spans="1:34" x14ac:dyDescent="0.2">
      <c r="A410" s="347">
        <f t="shared" ca="1" si="180"/>
        <v>0.1</v>
      </c>
      <c r="B410" s="304">
        <f t="shared" ca="1" si="181"/>
        <v>25.800000000000058</v>
      </c>
      <c r="D410" s="306">
        <f t="shared" ca="1" si="182"/>
        <v>-0.90273911819579755</v>
      </c>
      <c r="E410" s="307">
        <f t="shared" ca="1" si="183"/>
        <v>-4.4678429256874672</v>
      </c>
      <c r="F410" s="304">
        <f t="shared" ca="1" si="184"/>
        <v>4.5581310121733525</v>
      </c>
      <c r="G410" s="306">
        <f t="shared" ca="1" si="185"/>
        <v>13.241592822905121</v>
      </c>
      <c r="H410" s="307">
        <f t="shared" ca="1" si="186"/>
        <v>-79.341034863035503</v>
      </c>
      <c r="I410" s="304">
        <f t="shared" ca="1" si="187"/>
        <v>80.438421128370166</v>
      </c>
      <c r="J410" s="306">
        <f t="shared" ca="1" si="188"/>
        <v>615.48680493553036</v>
      </c>
      <c r="K410" s="307">
        <f t="shared" ca="1" si="189"/>
        <v>1001.5018549627836</v>
      </c>
      <c r="L410" s="304">
        <f t="shared" ca="1" si="174"/>
        <v>1175.512642443136</v>
      </c>
      <c r="M410" s="306">
        <f t="shared" ca="1" si="190"/>
        <v>-1.4054258533899102</v>
      </c>
      <c r="N410" s="304">
        <f t="shared" ca="1" si="191"/>
        <v>-80.524969817813854</v>
      </c>
      <c r="P410" s="310">
        <f t="shared" ca="1" si="192"/>
        <v>23</v>
      </c>
      <c r="Q410" s="304">
        <f t="shared" ca="1" si="193"/>
        <v>0</v>
      </c>
      <c r="R410" s="306">
        <f t="shared" ca="1" si="194"/>
        <v>0</v>
      </c>
      <c r="S410" s="307">
        <f t="shared" ca="1" si="195"/>
        <v>2.6792999999999987</v>
      </c>
      <c r="T410" s="304">
        <f t="shared" ca="1" si="175"/>
        <v>26.283932999999987</v>
      </c>
      <c r="U410" s="311">
        <f t="shared" ca="1" si="176"/>
        <v>0</v>
      </c>
      <c r="V410" s="306">
        <f t="shared" ca="1" si="177"/>
        <v>1.1081664724930613</v>
      </c>
      <c r="W410" s="304">
        <f t="shared" ca="1" si="178"/>
        <v>14.682667059961952</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4.2549704591314228</v>
      </c>
      <c r="AH410" s="304">
        <f t="shared" ca="1" si="202"/>
        <v>-5.4178944362315118</v>
      </c>
    </row>
    <row r="411" spans="1:34" x14ac:dyDescent="0.2">
      <c r="A411" s="347">
        <f t="shared" ca="1" si="180"/>
        <v>0.1</v>
      </c>
      <c r="B411" s="304">
        <f t="shared" ca="1" si="181"/>
        <v>25.900000000000059</v>
      </c>
      <c r="D411" s="306">
        <f t="shared" ca="1" si="182"/>
        <v>-0.90211166495897932</v>
      </c>
      <c r="E411" s="307">
        <f t="shared" ca="1" si="183"/>
        <v>-4.4047233073008512</v>
      </c>
      <c r="F411" s="304">
        <f t="shared" ca="1" si="184"/>
        <v>4.4961531190490396</v>
      </c>
      <c r="G411" s="306">
        <f t="shared" ca="1" si="185"/>
        <v>13.151381656409223</v>
      </c>
      <c r="H411" s="307">
        <f t="shared" ca="1" si="186"/>
        <v>-79.781507193765592</v>
      </c>
      <c r="I411" s="304">
        <f t="shared" ca="1" si="187"/>
        <v>80.858195191219849</v>
      </c>
      <c r="J411" s="306">
        <f t="shared" ca="1" si="188"/>
        <v>616.80645365949613</v>
      </c>
      <c r="K411" s="307">
        <f t="shared" ca="1" si="189"/>
        <v>993.54572785994355</v>
      </c>
      <c r="L411" s="304">
        <f t="shared" ca="1" si="174"/>
        <v>1169.4371785712772</v>
      </c>
      <c r="M411" s="306">
        <f t="shared" ca="1" si="190"/>
        <v>-1.4074230551699667</v>
      </c>
      <c r="N411" s="304">
        <f t="shared" ca="1" si="191"/>
        <v>-80.639401050647109</v>
      </c>
      <c r="P411" s="310">
        <f t="shared" ca="1" si="192"/>
        <v>23</v>
      </c>
      <c r="Q411" s="304">
        <f t="shared" ca="1" si="193"/>
        <v>0</v>
      </c>
      <c r="R411" s="306">
        <f t="shared" ca="1" si="194"/>
        <v>0</v>
      </c>
      <c r="S411" s="307">
        <f t="shared" ca="1" si="195"/>
        <v>2.6792999999999987</v>
      </c>
      <c r="T411" s="304">
        <f t="shared" ca="1" si="175"/>
        <v>26.283932999999987</v>
      </c>
      <c r="U411" s="311">
        <f t="shared" ca="1" si="176"/>
        <v>0</v>
      </c>
      <c r="V411" s="306">
        <f t="shared" ca="1" si="177"/>
        <v>1.1090506951607266</v>
      </c>
      <c r="W411" s="304">
        <f t="shared" ca="1" si="178"/>
        <v>14.848150282947618</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4.1961279871436599</v>
      </c>
      <c r="AH411" s="304">
        <f t="shared" ca="1" si="202"/>
        <v>-5.4800384652565821</v>
      </c>
    </row>
    <row r="412" spans="1:34" x14ac:dyDescent="0.2">
      <c r="A412" s="347">
        <f t="shared" ca="1" si="180"/>
        <v>0.1</v>
      </c>
      <c r="B412" s="304">
        <f t="shared" ca="1" si="181"/>
        <v>26.00000000000006</v>
      </c>
      <c r="D412" s="306">
        <f t="shared" ca="1" si="182"/>
        <v>-0.90136013917657853</v>
      </c>
      <c r="E412" s="307">
        <f t="shared" ca="1" si="183"/>
        <v>-4.3419912153226861</v>
      </c>
      <c r="F412" s="304">
        <f t="shared" ca="1" si="184"/>
        <v>4.4345617387105793</v>
      </c>
      <c r="G412" s="306">
        <f t="shared" ca="1" si="185"/>
        <v>13.061245642491565</v>
      </c>
      <c r="H412" s="307">
        <f t="shared" ca="1" si="186"/>
        <v>-80.215706315297865</v>
      </c>
      <c r="I412" s="304">
        <f t="shared" ca="1" si="187"/>
        <v>81.272108852887669</v>
      </c>
      <c r="J412" s="306">
        <f t="shared" ca="1" si="188"/>
        <v>618.11708502444117</v>
      </c>
      <c r="K412" s="307">
        <f t="shared" ca="1" si="189"/>
        <v>985.54586718449036</v>
      </c>
      <c r="L412" s="304">
        <f t="shared" ca="1" si="174"/>
        <v>1163.3440536331209</v>
      </c>
      <c r="M412" s="306">
        <f t="shared" ca="1" si="190"/>
        <v>-1.4093863028607279</v>
      </c>
      <c r="N412" s="304">
        <f t="shared" ca="1" si="191"/>
        <v>-80.751886857466531</v>
      </c>
      <c r="P412" s="310">
        <f t="shared" ca="1" si="192"/>
        <v>23</v>
      </c>
      <c r="Q412" s="304">
        <f t="shared" ca="1" si="193"/>
        <v>0</v>
      </c>
      <c r="R412" s="306">
        <f t="shared" ca="1" si="194"/>
        <v>0</v>
      </c>
      <c r="S412" s="307">
        <f t="shared" ca="1" si="195"/>
        <v>2.6792999999999987</v>
      </c>
      <c r="T412" s="304">
        <f t="shared" ca="1" si="175"/>
        <v>26.283932999999987</v>
      </c>
      <c r="U412" s="311">
        <f t="shared" ca="1" si="176"/>
        <v>0</v>
      </c>
      <c r="V412" s="306">
        <f t="shared" ca="1" si="177"/>
        <v>1.1099404542591511</v>
      </c>
      <c r="W412" s="304">
        <f t="shared" ca="1" si="178"/>
        <v>15.01258944446055</v>
      </c>
      <c r="Y412" s="314" t="str">
        <f t="shared" ca="1" si="196"/>
        <v/>
      </c>
      <c r="Z412" s="315" t="str">
        <f t="shared" ca="1" si="197"/>
        <v/>
      </c>
      <c r="AA412" s="316" t="str">
        <f t="shared" ca="1" si="198"/>
        <v/>
      </c>
      <c r="AC412" s="310">
        <f t="shared" ca="1" si="199"/>
        <v>26.00000000000006</v>
      </c>
      <c r="AD412" s="323">
        <f t="shared" ca="1" si="200"/>
        <v>618.11708502444117</v>
      </c>
      <c r="AE412" s="324" t="e">
        <f t="shared" ca="1" si="179"/>
        <v>#N/A</v>
      </c>
      <c r="AG412" s="306">
        <f t="shared" ca="1" si="201"/>
        <v>4.1375703648735032</v>
      </c>
      <c r="AH412" s="304">
        <f t="shared" ca="1" si="202"/>
        <v>-5.5418020688043983</v>
      </c>
    </row>
    <row r="413" spans="1:34" x14ac:dyDescent="0.2">
      <c r="A413" s="347">
        <f t="shared" ca="1" si="180"/>
        <v>0.1</v>
      </c>
      <c r="B413" s="304">
        <f t="shared" ca="1" si="181"/>
        <v>26.100000000000062</v>
      </c>
      <c r="D413" s="306">
        <f t="shared" ca="1" si="182"/>
        <v>-0.90048676091859314</v>
      </c>
      <c r="E413" s="307">
        <f t="shared" ca="1" si="183"/>
        <v>-4.2796559936315175</v>
      </c>
      <c r="F413" s="304">
        <f t="shared" ca="1" si="184"/>
        <v>4.3733661898377356</v>
      </c>
      <c r="G413" s="306">
        <f t="shared" ca="1" si="185"/>
        <v>12.971196966399706</v>
      </c>
      <c r="H413" s="307">
        <f t="shared" ca="1" si="186"/>
        <v>-80.643671914661013</v>
      </c>
      <c r="I413" s="304">
        <f t="shared" ca="1" si="187"/>
        <v>81.680192033446048</v>
      </c>
      <c r="J413" s="306">
        <f t="shared" ca="1" si="188"/>
        <v>619.41870715488574</v>
      </c>
      <c r="K413" s="307">
        <f t="shared" ca="1" si="189"/>
        <v>977.50289827299241</v>
      </c>
      <c r="L413" s="304">
        <f t="shared" ca="1" si="174"/>
        <v>1157.2343975640933</v>
      </c>
      <c r="M413" s="306">
        <f t="shared" ca="1" si="190"/>
        <v>-1.4113164730117522</v>
      </c>
      <c r="N413" s="304">
        <f t="shared" ca="1" si="191"/>
        <v>-80.862477460862351</v>
      </c>
      <c r="P413" s="310">
        <f t="shared" ca="1" si="192"/>
        <v>23</v>
      </c>
      <c r="Q413" s="304">
        <f t="shared" ca="1" si="193"/>
        <v>0</v>
      </c>
      <c r="R413" s="306">
        <f t="shared" ca="1" si="194"/>
        <v>0</v>
      </c>
      <c r="S413" s="307">
        <f t="shared" ca="1" si="195"/>
        <v>2.6792999999999987</v>
      </c>
      <c r="T413" s="304">
        <f t="shared" ca="1" si="175"/>
        <v>26.283932999999987</v>
      </c>
      <c r="U413" s="311">
        <f t="shared" ca="1" si="176"/>
        <v>0</v>
      </c>
      <c r="V413" s="306">
        <f t="shared" ca="1" si="177"/>
        <v>1.1108356920562745</v>
      </c>
      <c r="W413" s="304">
        <f t="shared" ca="1" si="178"/>
        <v>15.175960769411351</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4.079310285076982</v>
      </c>
      <c r="AH413" s="304">
        <f t="shared" ca="1" si="202"/>
        <v>-5.6031759953945279</v>
      </c>
    </row>
    <row r="414" spans="1:34" x14ac:dyDescent="0.2">
      <c r="A414" s="347">
        <f t="shared" ca="1" si="180"/>
        <v>0.1</v>
      </c>
      <c r="B414" s="304">
        <f t="shared" ca="1" si="181"/>
        <v>26.200000000000063</v>
      </c>
      <c r="D414" s="306">
        <f t="shared" ca="1" si="182"/>
        <v>-0.89949376044490104</v>
      </c>
      <c r="E414" s="307">
        <f t="shared" ca="1" si="183"/>
        <v>-4.2177266042212365</v>
      </c>
      <c r="F414" s="304">
        <f t="shared" ca="1" si="184"/>
        <v>4.3125754176634308</v>
      </c>
      <c r="G414" s="306">
        <f t="shared" ca="1" si="185"/>
        <v>12.881247590355215</v>
      </c>
      <c r="H414" s="307">
        <f t="shared" ca="1" si="186"/>
        <v>-81.065444575083134</v>
      </c>
      <c r="I414" s="304">
        <f t="shared" ca="1" si="187"/>
        <v>82.08247586202495</v>
      </c>
      <c r="J414" s="306">
        <f t="shared" ca="1" si="188"/>
        <v>620.71132938272353</v>
      </c>
      <c r="K414" s="307">
        <f t="shared" ca="1" si="189"/>
        <v>969.4174424485052</v>
      </c>
      <c r="L414" s="304">
        <f t="shared" ca="1" si="174"/>
        <v>1151.1093484754037</v>
      </c>
      <c r="M414" s="306">
        <f t="shared" ca="1" si="190"/>
        <v>-1.4132144114629646</v>
      </c>
      <c r="N414" s="304">
        <f t="shared" ca="1" si="191"/>
        <v>-80.971221323892422</v>
      </c>
      <c r="P414" s="310">
        <f t="shared" ca="1" si="192"/>
        <v>23</v>
      </c>
      <c r="Q414" s="304">
        <f t="shared" ca="1" si="193"/>
        <v>0</v>
      </c>
      <c r="R414" s="306">
        <f t="shared" ca="1" si="194"/>
        <v>0</v>
      </c>
      <c r="S414" s="307">
        <f t="shared" ca="1" si="195"/>
        <v>2.6792999999999987</v>
      </c>
      <c r="T414" s="304">
        <f t="shared" ca="1" si="175"/>
        <v>26.283932999999987</v>
      </c>
      <c r="U414" s="311">
        <f t="shared" ca="1" si="176"/>
        <v>0</v>
      </c>
      <c r="V414" s="306">
        <f t="shared" ca="1" si="177"/>
        <v>1.1117363511400671</v>
      </c>
      <c r="W414" s="304">
        <f t="shared" ca="1" si="178"/>
        <v>15.33824148398082</v>
      </c>
      <c r="Y414" s="314" t="str">
        <f t="shared" ca="1" si="196"/>
        <v/>
      </c>
      <c r="Z414" s="315" t="str">
        <f t="shared" ca="1" si="197"/>
        <v/>
      </c>
      <c r="AA414" s="316" t="str">
        <f t="shared" ca="1" si="198"/>
        <v/>
      </c>
      <c r="AC414" s="310" t="e">
        <f t="shared" ca="1" si="199"/>
        <v>#N/A</v>
      </c>
      <c r="AD414" s="323" t="e">
        <f t="shared" ca="1" si="200"/>
        <v>#N/A</v>
      </c>
      <c r="AE414" s="324" t="e">
        <f t="shared" ca="1" si="179"/>
        <v>#N/A</v>
      </c>
      <c r="AG414" s="306">
        <f t="shared" ca="1" si="201"/>
        <v>4.0213599109228051</v>
      </c>
      <c r="AH414" s="304">
        <f t="shared" ca="1" si="202"/>
        <v>-5.6641513714072174</v>
      </c>
    </row>
    <row r="415" spans="1:34" x14ac:dyDescent="0.2">
      <c r="A415" s="347">
        <f t="shared" ca="1" si="180"/>
        <v>0.1</v>
      </c>
      <c r="B415" s="304">
        <f t="shared" ca="1" si="181"/>
        <v>26.300000000000065</v>
      </c>
      <c r="D415" s="306">
        <f t="shared" ca="1" si="182"/>
        <v>-0.89838337631865761</v>
      </c>
      <c r="E415" s="307">
        <f t="shared" ca="1" si="183"/>
        <v>-4.156211631343397</v>
      </c>
      <c r="F415" s="304">
        <f t="shared" ca="1" si="184"/>
        <v>4.2521979981369462</v>
      </c>
      <c r="G415" s="306">
        <f t="shared" ca="1" si="185"/>
        <v>12.79140925272335</v>
      </c>
      <c r="H415" s="307">
        <f t="shared" ca="1" si="186"/>
        <v>-81.481065738217481</v>
      </c>
      <c r="I415" s="304">
        <f t="shared" ca="1" si="187"/>
        <v>82.478992625433875</v>
      </c>
      <c r="J415" s="306">
        <f t="shared" ca="1" si="188"/>
        <v>621.99496222487744</v>
      </c>
      <c r="K415" s="307">
        <f t="shared" ca="1" si="189"/>
        <v>961.29011693284019</v>
      </c>
      <c r="L415" s="304">
        <f t="shared" ca="1" si="174"/>
        <v>1144.9700528598466</v>
      </c>
      <c r="M415" s="306">
        <f t="shared" ca="1" si="190"/>
        <v>-1.4150809346606872</v>
      </c>
      <c r="N415" s="304">
        <f t="shared" ca="1" si="191"/>
        <v>-81.078165225485179</v>
      </c>
      <c r="P415" s="310">
        <f t="shared" ca="1" si="192"/>
        <v>23</v>
      </c>
      <c r="Q415" s="304">
        <f t="shared" ca="1" si="193"/>
        <v>0</v>
      </c>
      <c r="R415" s="306">
        <f t="shared" ca="1" si="194"/>
        <v>0</v>
      </c>
      <c r="S415" s="307">
        <f t="shared" ca="1" si="195"/>
        <v>2.6792999999999987</v>
      </c>
      <c r="T415" s="304">
        <f t="shared" ca="1" si="175"/>
        <v>26.283932999999987</v>
      </c>
      <c r="U415" s="311">
        <f t="shared" ca="1" si="176"/>
        <v>0</v>
      </c>
      <c r="V415" s="306">
        <f t="shared" ca="1" si="177"/>
        <v>1.1126423744269958</v>
      </c>
      <c r="W415" s="304">
        <f t="shared" ca="1" si="178"/>
        <v>15.499409803929691</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3.9637308880455802</v>
      </c>
      <c r="AH415" s="304">
        <f t="shared" ca="1" si="202"/>
        <v>-5.7247196969286112</v>
      </c>
    </row>
    <row r="416" spans="1:34" x14ac:dyDescent="0.2">
      <c r="A416" s="347">
        <f t="shared" ca="1" si="180"/>
        <v>0.1</v>
      </c>
      <c r="B416" s="304">
        <f t="shared" ca="1" si="181"/>
        <v>26.400000000000066</v>
      </c>
      <c r="D416" s="306">
        <f t="shared" ca="1" si="182"/>
        <v>-0.89715785357852118</v>
      </c>
      <c r="E416" s="307">
        <f t="shared" ca="1" si="183"/>
        <v>-4.0951192858655574</v>
      </c>
      <c r="F416" s="304">
        <f t="shared" ca="1" si="184"/>
        <v>4.1922421423035257</v>
      </c>
      <c r="G416" s="306">
        <f t="shared" ca="1" si="185"/>
        <v>12.701693467365498</v>
      </c>
      <c r="H416" s="307">
        <f t="shared" ca="1" si="186"/>
        <v>-81.890577666804035</v>
      </c>
      <c r="I416" s="304">
        <f t="shared" ca="1" si="187"/>
        <v>82.869775717940612</v>
      </c>
      <c r="J416" s="306">
        <f t="shared" ca="1" si="188"/>
        <v>623.26961736088185</v>
      </c>
      <c r="K416" s="307">
        <f t="shared" ca="1" si="189"/>
        <v>953.12153476258914</v>
      </c>
      <c r="L416" s="304">
        <f t="shared" ca="1" si="174"/>
        <v>1138.8176658066793</v>
      </c>
      <c r="M416" s="306">
        <f t="shared" ca="1" si="190"/>
        <v>-1.4169168309077587</v>
      </c>
      <c r="N416" s="304">
        <f t="shared" ca="1" si="191"/>
        <v>-81.183354332066287</v>
      </c>
      <c r="P416" s="310">
        <f t="shared" ca="1" si="192"/>
        <v>23</v>
      </c>
      <c r="Q416" s="304">
        <f t="shared" ca="1" si="193"/>
        <v>0</v>
      </c>
      <c r="R416" s="306">
        <f t="shared" ca="1" si="194"/>
        <v>0</v>
      </c>
      <c r="S416" s="307">
        <f t="shared" ca="1" si="195"/>
        <v>2.6792999999999987</v>
      </c>
      <c r="T416" s="304">
        <f t="shared" ca="1" si="175"/>
        <v>26.283932999999987</v>
      </c>
      <c r="U416" s="311">
        <f t="shared" ca="1" si="176"/>
        <v>0</v>
      </c>
      <c r="V416" s="306">
        <f t="shared" ca="1" si="177"/>
        <v>1.1135537051701736</v>
      </c>
      <c r="W416" s="304">
        <f t="shared" ca="1" si="178"/>
        <v>15.659444922382724</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3.906434356336697</v>
      </c>
      <c r="AH416" s="304">
        <f t="shared" ca="1" si="202"/>
        <v>-5.7848728413875632</v>
      </c>
    </row>
    <row r="417" spans="1:34" x14ac:dyDescent="0.2">
      <c r="A417" s="347">
        <f t="shared" ca="1" si="180"/>
        <v>0.1</v>
      </c>
      <c r="B417" s="304">
        <f t="shared" ca="1" si="181"/>
        <v>26.500000000000068</v>
      </c>
      <c r="D417" s="306">
        <f t="shared" ca="1" si="182"/>
        <v>-0.89581944196926344</v>
      </c>
      <c r="E417" s="307">
        <f t="shared" ca="1" si="183"/>
        <v>-4.0344574098328723</v>
      </c>
      <c r="F417" s="304">
        <f t="shared" ca="1" si="184"/>
        <v>4.132715700887915</v>
      </c>
      <c r="G417" s="306">
        <f t="shared" ca="1" si="185"/>
        <v>12.612111523168572</v>
      </c>
      <c r="H417" s="307">
        <f t="shared" ca="1" si="186"/>
        <v>-82.294023407787321</v>
      </c>
      <c r="I417" s="304">
        <f t="shared" ca="1" si="187"/>
        <v>83.254859592184104</v>
      </c>
      <c r="J417" s="306">
        <f t="shared" ca="1" si="188"/>
        <v>624.53530761040861</v>
      </c>
      <c r="K417" s="307">
        <f t="shared" ca="1" si="189"/>
        <v>944.91230470885955</v>
      </c>
      <c r="L417" s="304">
        <f t="shared" ca="1" si="174"/>
        <v>1132.6533512254473</v>
      </c>
      <c r="M417" s="306">
        <f t="shared" ca="1" si="190"/>
        <v>-1.4187228615514966</v>
      </c>
      <c r="N417" s="304">
        <f t="shared" ca="1" si="191"/>
        <v>-81.286832265623772</v>
      </c>
      <c r="P417" s="310">
        <f t="shared" ca="1" si="192"/>
        <v>23</v>
      </c>
      <c r="Q417" s="304">
        <f t="shared" ca="1" si="193"/>
        <v>0</v>
      </c>
      <c r="R417" s="306">
        <f t="shared" ca="1" si="194"/>
        <v>0</v>
      </c>
      <c r="S417" s="307">
        <f t="shared" ca="1" si="195"/>
        <v>2.6792999999999987</v>
      </c>
      <c r="T417" s="304">
        <f t="shared" ca="1" si="175"/>
        <v>26.283932999999987</v>
      </c>
      <c r="U417" s="311">
        <f t="shared" ca="1" si="176"/>
        <v>0</v>
      </c>
      <c r="V417" s="306">
        <f t="shared" ca="1" si="177"/>
        <v>1.1144702869671967</v>
      </c>
      <c r="W417" s="304">
        <f t="shared" ca="1" si="178"/>
        <v>15.818326997119716</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3.8494809614920875</v>
      </c>
      <c r="AH417" s="304">
        <f t="shared" ca="1" si="202"/>
        <v>-5.8446030389962793</v>
      </c>
    </row>
    <row r="418" spans="1:34" x14ac:dyDescent="0.2">
      <c r="A418" s="347">
        <f t="shared" ca="1" si="180"/>
        <v>0.1</v>
      </c>
      <c r="B418" s="304">
        <f t="shared" ca="1" si="181"/>
        <v>26.600000000000069</v>
      </c>
      <c r="D418" s="306">
        <f t="shared" ca="1" si="182"/>
        <v>-0.89437039423032139</v>
      </c>
      <c r="E418" s="307">
        <f t="shared" ca="1" si="183"/>
        <v>-3.9742334812203595</v>
      </c>
      <c r="F418" s="304">
        <f t="shared" ca="1" si="184"/>
        <v>4.0736261690695912</v>
      </c>
      <c r="G418" s="306">
        <f t="shared" ca="1" si="185"/>
        <v>12.52267448374554</v>
      </c>
      <c r="H418" s="307">
        <f t="shared" ca="1" si="186"/>
        <v>-82.691446755909354</v>
      </c>
      <c r="I418" s="304">
        <f t="shared" ca="1" si="187"/>
        <v>83.634279711200023</v>
      </c>
      <c r="J418" s="306">
        <f t="shared" ca="1" si="188"/>
        <v>625.79204691075427</v>
      </c>
      <c r="K418" s="307">
        <f t="shared" ca="1" si="189"/>
        <v>936.66303120067471</v>
      </c>
      <c r="L418" s="304">
        <f t="shared" ca="1" si="174"/>
        <v>1126.4782820786149</v>
      </c>
      <c r="M418" s="306">
        <f t="shared" ca="1" si="190"/>
        <v>-1.4204997621130304</v>
      </c>
      <c r="N418" s="304">
        <f t="shared" ca="1" si="191"/>
        <v>-81.388641168414082</v>
      </c>
      <c r="P418" s="310">
        <f t="shared" ca="1" si="192"/>
        <v>23</v>
      </c>
      <c r="Q418" s="304">
        <f t="shared" ca="1" si="193"/>
        <v>0</v>
      </c>
      <c r="R418" s="306">
        <f t="shared" ca="1" si="194"/>
        <v>0</v>
      </c>
      <c r="S418" s="307">
        <f t="shared" ca="1" si="195"/>
        <v>2.6792999999999987</v>
      </c>
      <c r="T418" s="304">
        <f t="shared" ca="1" si="175"/>
        <v>26.283932999999987</v>
      </c>
      <c r="U418" s="311">
        <f t="shared" ca="1" si="176"/>
        <v>0</v>
      </c>
      <c r="V418" s="306">
        <f t="shared" ca="1" si="177"/>
        <v>1.1153920637676686</v>
      </c>
      <c r="W418" s="304">
        <f t="shared" ca="1" si="178"/>
        <v>15.976037137405127</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3.7928808663338609</v>
      </c>
      <c r="AH418" s="304">
        <f t="shared" ca="1" si="202"/>
        <v>-5.9039028840069134</v>
      </c>
    </row>
    <row r="419" spans="1:34" x14ac:dyDescent="0.2">
      <c r="A419" s="347">
        <f t="shared" ca="1" si="180"/>
        <v>0.1</v>
      </c>
      <c r="B419" s="304">
        <f t="shared" ca="1" si="181"/>
        <v>26.70000000000007</v>
      </c>
      <c r="D419" s="306">
        <f t="shared" ca="1" si="182"/>
        <v>-0.89281296444175962</v>
      </c>
      <c r="E419" s="307">
        <f t="shared" ca="1" si="183"/>
        <v>-3.9144546188635445</v>
      </c>
      <c r="F419" s="304">
        <f t="shared" ca="1" si="184"/>
        <v>4.0149806914376835</v>
      </c>
      <c r="G419" s="306">
        <f t="shared" ca="1" si="185"/>
        <v>12.433393187301364</v>
      </c>
      <c r="H419" s="307">
        <f t="shared" ca="1" si="186"/>
        <v>-83.082892217795703</v>
      </c>
      <c r="I419" s="304">
        <f t="shared" ca="1" si="187"/>
        <v>84.008072501539345</v>
      </c>
      <c r="J419" s="306">
        <f t="shared" ca="1" si="188"/>
        <v>627.03985029430658</v>
      </c>
      <c r="K419" s="307">
        <f t="shared" ca="1" si="189"/>
        <v>928.3743142519894</v>
      </c>
      <c r="L419" s="304">
        <f t="shared" ca="1" si="174"/>
        <v>1120.2936406228314</v>
      </c>
      <c r="M419" s="306">
        <f t="shared" ca="1" si="190"/>
        <v>-1.422248243361298</v>
      </c>
      <c r="N419" s="304">
        <f t="shared" ca="1" si="191"/>
        <v>-81.488821764497573</v>
      </c>
      <c r="P419" s="310">
        <f t="shared" ca="1" si="192"/>
        <v>23</v>
      </c>
      <c r="Q419" s="304">
        <f t="shared" ca="1" si="193"/>
        <v>0</v>
      </c>
      <c r="R419" s="306">
        <f t="shared" ca="1" si="194"/>
        <v>0</v>
      </c>
      <c r="S419" s="307">
        <f t="shared" ca="1" si="195"/>
        <v>2.6792999999999987</v>
      </c>
      <c r="T419" s="304">
        <f t="shared" ca="1" si="175"/>
        <v>26.283932999999987</v>
      </c>
      <c r="U419" s="311">
        <f t="shared" ca="1" si="176"/>
        <v>0</v>
      </c>
      <c r="V419" s="306">
        <f t="shared" ca="1" si="177"/>
        <v>1.1163189798804176</v>
      </c>
      <c r="W419" s="304">
        <f t="shared" ca="1" si="178"/>
        <v>16.132557390387699</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3.7366437619209343</v>
      </c>
      <c r="AH419" s="304">
        <f t="shared" ca="1" si="202"/>
        <v>-5.9627653257959672</v>
      </c>
    </row>
    <row r="420" spans="1:34" x14ac:dyDescent="0.2">
      <c r="A420" s="347">
        <f t="shared" ca="1" si="180"/>
        <v>0.1</v>
      </c>
      <c r="B420" s="304">
        <f t="shared" ca="1" si="181"/>
        <v>26.800000000000072</v>
      </c>
      <c r="D420" s="306">
        <f t="shared" ca="1" si="182"/>
        <v>-0.89114940642713425</v>
      </c>
      <c r="E420" s="307">
        <f t="shared" ca="1" si="183"/>
        <v>-3.8551275875553488</v>
      </c>
      <c r="F420" s="304">
        <f t="shared" ca="1" si="184"/>
        <v>3.9567860671137831</v>
      </c>
      <c r="G420" s="306">
        <f t="shared" ca="1" si="185"/>
        <v>12.34427824665865</v>
      </c>
      <c r="H420" s="307">
        <f t="shared" ca="1" si="186"/>
        <v>-83.468404976551241</v>
      </c>
      <c r="I420" s="304">
        <f t="shared" ca="1" si="187"/>
        <v>84.376275307461242</v>
      </c>
      <c r="J420" s="306">
        <f t="shared" ca="1" si="188"/>
        <v>628.27873386600459</v>
      </c>
      <c r="K420" s="307">
        <f t="shared" ca="1" si="189"/>
        <v>920.04674939227209</v>
      </c>
      <c r="L420" s="304">
        <f t="shared" ca="1" si="174"/>
        <v>1114.1006186586362</v>
      </c>
      <c r="M420" s="306">
        <f t="shared" ca="1" si="190"/>
        <v>-1.4239689923348007</v>
      </c>
      <c r="N420" s="304">
        <f t="shared" ca="1" si="191"/>
        <v>-81.587413418280747</v>
      </c>
      <c r="P420" s="310">
        <f t="shared" ca="1" si="192"/>
        <v>23</v>
      </c>
      <c r="Q420" s="304">
        <f t="shared" ca="1" si="193"/>
        <v>0</v>
      </c>
      <c r="R420" s="306">
        <f t="shared" ca="1" si="194"/>
        <v>0</v>
      </c>
      <c r="S420" s="307">
        <f t="shared" ca="1" si="195"/>
        <v>2.6792999999999987</v>
      </c>
      <c r="T420" s="304">
        <f t="shared" ca="1" si="175"/>
        <v>26.283932999999987</v>
      </c>
      <c r="U420" s="311">
        <f t="shared" ca="1" si="176"/>
        <v>0</v>
      </c>
      <c r="V420" s="306">
        <f t="shared" ca="1" si="177"/>
        <v>1.117250979980408</v>
      </c>
      <c r="W420" s="304">
        <f t="shared" ca="1" si="178"/>
        <v>16.287870727100835</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3.6807788784620312</v>
      </c>
      <c r="AH420" s="304">
        <f t="shared" ca="1" si="202"/>
        <v>-6.0211836637881939</v>
      </c>
    </row>
    <row r="421" spans="1:34" x14ac:dyDescent="0.2">
      <c r="A421" s="347">
        <f t="shared" ca="1" si="180"/>
        <v>0.1</v>
      </c>
      <c r="B421" s="304">
        <f t="shared" ca="1" si="181"/>
        <v>26.900000000000073</v>
      </c>
      <c r="D421" s="306">
        <f t="shared" ca="1" si="182"/>
        <v>-0.88938197221267612</v>
      </c>
      <c r="E421" s="307">
        <f t="shared" ca="1" si="183"/>
        <v>-3.7962588032973485</v>
      </c>
      <c r="F421" s="304">
        <f t="shared" ca="1" si="184"/>
        <v>3.8990487550310942</v>
      </c>
      <c r="G421" s="306">
        <f t="shared" ca="1" si="185"/>
        <v>12.255340049437383</v>
      </c>
      <c r="H421" s="307">
        <f t="shared" ca="1" si="186"/>
        <v>-83.848030856880982</v>
      </c>
      <c r="I421" s="304">
        <f t="shared" ca="1" si="187"/>
        <v>84.738926346182893</v>
      </c>
      <c r="J421" s="306">
        <f t="shared" ca="1" si="188"/>
        <v>629.50871478080944</v>
      </c>
      <c r="K421" s="307">
        <f t="shared" ca="1" si="189"/>
        <v>911.68092760060051</v>
      </c>
      <c r="L421" s="304">
        <f t="shared" ca="1" si="174"/>
        <v>1107.9004177883851</v>
      </c>
      <c r="M421" s="306">
        <f t="shared" ca="1" si="190"/>
        <v>-1.4256626733140123</v>
      </c>
      <c r="N421" s="304">
        <f t="shared" ca="1" si="191"/>
        <v>-81.684454190231165</v>
      </c>
      <c r="P421" s="310">
        <f t="shared" ca="1" si="192"/>
        <v>23</v>
      </c>
      <c r="Q421" s="304">
        <f t="shared" ca="1" si="193"/>
        <v>0</v>
      </c>
      <c r="R421" s="306">
        <f t="shared" ca="1" si="194"/>
        <v>0</v>
      </c>
      <c r="S421" s="307">
        <f t="shared" ca="1" si="195"/>
        <v>2.6792999999999987</v>
      </c>
      <c r="T421" s="304">
        <f t="shared" ca="1" si="175"/>
        <v>26.283932999999987</v>
      </c>
      <c r="U421" s="311">
        <f t="shared" ca="1" si="176"/>
        <v>0</v>
      </c>
      <c r="V421" s="306">
        <f t="shared" ca="1" si="177"/>
        <v>1.1181880091153558</v>
      </c>
      <c r="W421" s="304">
        <f t="shared" ca="1" si="178"/>
        <v>16.441961028093857</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3.6252949960427605</v>
      </c>
      <c r="AH421" s="304">
        <f t="shared" ca="1" si="202"/>
        <v>-6.0791515422314939</v>
      </c>
    </row>
    <row r="422" spans="1:34" x14ac:dyDescent="0.2">
      <c r="A422" s="347">
        <f t="shared" ca="1" si="180"/>
        <v>0.1</v>
      </c>
      <c r="B422" s="304">
        <f t="shared" ca="1" si="181"/>
        <v>27.000000000000075</v>
      </c>
      <c r="D422" s="306">
        <f t="shared" ca="1" si="182"/>
        <v>-0.88751291054221348</v>
      </c>
      <c r="E422" s="307">
        <f t="shared" ca="1" si="183"/>
        <v>-3.7378543386937624</v>
      </c>
      <c r="F422" s="304">
        <f t="shared" ca="1" si="184"/>
        <v>3.8417748793586139</v>
      </c>
      <c r="G422" s="306">
        <f t="shared" ca="1" si="185"/>
        <v>12.166588758383162</v>
      </c>
      <c r="H422" s="307">
        <f t="shared" ca="1" si="186"/>
        <v>-84.221816290750354</v>
      </c>
      <c r="I422" s="304">
        <f t="shared" ca="1" si="187"/>
        <v>85.096064664169504</v>
      </c>
      <c r="J422" s="306">
        <f t="shared" ca="1" si="188"/>
        <v>630.72981122120052</v>
      </c>
      <c r="K422" s="307">
        <f t="shared" ca="1" si="189"/>
        <v>903.27743524321897</v>
      </c>
      <c r="L422" s="304">
        <f t="shared" ca="1" si="174"/>
        <v>1101.6942496821425</v>
      </c>
      <c r="M422" s="306">
        <f t="shared" ca="1" si="190"/>
        <v>-1.4273299287471639</v>
      </c>
      <c r="N422" s="304">
        <f t="shared" ca="1" si="191"/>
        <v>-81.779980889921006</v>
      </c>
      <c r="P422" s="310">
        <f t="shared" ca="1" si="192"/>
        <v>23</v>
      </c>
      <c r="Q422" s="304">
        <f t="shared" ca="1" si="193"/>
        <v>0</v>
      </c>
      <c r="R422" s="306">
        <f t="shared" ca="1" si="194"/>
        <v>0</v>
      </c>
      <c r="S422" s="307">
        <f t="shared" ca="1" si="195"/>
        <v>2.6792999999999987</v>
      </c>
      <c r="T422" s="304">
        <f t="shared" ca="1" si="175"/>
        <v>26.283932999999987</v>
      </c>
      <c r="U422" s="311">
        <f t="shared" ca="1" si="176"/>
        <v>0</v>
      </c>
      <c r="V422" s="306">
        <f t="shared" ca="1" si="177"/>
        <v>1.1191300127120405</v>
      </c>
      <c r="W422" s="304">
        <f t="shared" ca="1" si="178"/>
        <v>16.594813068723521</v>
      </c>
      <c r="Y422" s="314" t="str">
        <f t="shared" ca="1" si="196"/>
        <v/>
      </c>
      <c r="Z422" s="315" t="str">
        <f t="shared" ca="1" si="197"/>
        <v/>
      </c>
      <c r="AA422" s="316" t="str">
        <f t="shared" ca="1" si="198"/>
        <v/>
      </c>
      <c r="AC422" s="310">
        <f t="shared" ca="1" si="199"/>
        <v>27.000000000000075</v>
      </c>
      <c r="AD422" s="323">
        <f t="shared" ca="1" si="200"/>
        <v>630.72981122120052</v>
      </c>
      <c r="AE422" s="324" t="e">
        <f t="shared" ca="1" si="179"/>
        <v>#N/A</v>
      </c>
      <c r="AG422" s="306">
        <f t="shared" ca="1" si="201"/>
        <v>3.5702004551770932</v>
      </c>
      <c r="AH422" s="304">
        <f t="shared" ca="1" si="202"/>
        <v>-6.1366629448340477</v>
      </c>
    </row>
    <row r="423" spans="1:34" x14ac:dyDescent="0.2">
      <c r="A423" s="347">
        <f t="shared" ca="1" si="180"/>
        <v>0.1</v>
      </c>
      <c r="B423" s="304">
        <f t="shared" ca="1" si="181"/>
        <v>27.100000000000076</v>
      </c>
      <c r="D423" s="306">
        <f t="shared" ca="1" si="182"/>
        <v>-0.88554446544716703</v>
      </c>
      <c r="E423" s="307">
        <f t="shared" ca="1" si="183"/>
        <v>-3.679919928476866</v>
      </c>
      <c r="F423" s="304">
        <f t="shared" ca="1" si="184"/>
        <v>3.7849702350593577</v>
      </c>
      <c r="G423" s="306">
        <f t="shared" ca="1" si="185"/>
        <v>12.078034311838445</v>
      </c>
      <c r="H423" s="307">
        <f t="shared" ca="1" si="186"/>
        <v>-84.589808283598046</v>
      </c>
      <c r="I423" s="304">
        <f t="shared" ca="1" si="187"/>
        <v>85.447730094449085</v>
      </c>
      <c r="J423" s="306">
        <f t="shared" ca="1" si="188"/>
        <v>631.9420423747116</v>
      </c>
      <c r="K423" s="307">
        <f t="shared" ca="1" si="189"/>
        <v>894.83685401450157</v>
      </c>
      <c r="L423" s="304">
        <f t="shared" ca="1" si="174"/>
        <v>1095.4833363512621</v>
      </c>
      <c r="M423" s="306">
        <f t="shared" ca="1" si="190"/>
        <v>-1.4289713801319537</v>
      </c>
      <c r="N423" s="304">
        <f t="shared" ca="1" si="191"/>
        <v>-81.874029126545366</v>
      </c>
      <c r="P423" s="310">
        <f t="shared" ca="1" si="192"/>
        <v>23</v>
      </c>
      <c r="Q423" s="304">
        <f t="shared" ca="1" si="193"/>
        <v>0</v>
      </c>
      <c r="R423" s="306">
        <f t="shared" ca="1" si="194"/>
        <v>0</v>
      </c>
      <c r="S423" s="307">
        <f t="shared" ca="1" si="195"/>
        <v>2.6792999999999987</v>
      </c>
      <c r="T423" s="304">
        <f t="shared" ca="1" si="175"/>
        <v>26.283932999999987</v>
      </c>
      <c r="U423" s="311">
        <f t="shared" ca="1" si="176"/>
        <v>0</v>
      </c>
      <c r="V423" s="306">
        <f t="shared" ca="1" si="177"/>
        <v>1.1200769365823349</v>
      </c>
      <c r="W423" s="304">
        <f t="shared" ca="1" si="178"/>
        <v>16.746412504134877</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3.5155031671923371</v>
      </c>
      <c r="AH423" s="304">
        <f t="shared" ca="1" si="202"/>
        <v>-6.1937121892746347</v>
      </c>
    </row>
    <row r="424" spans="1:34" x14ac:dyDescent="0.2">
      <c r="A424" s="347">
        <f t="shared" ca="1" si="180"/>
        <v>0.1</v>
      </c>
      <c r="B424" s="304">
        <f t="shared" ca="1" si="181"/>
        <v>27.200000000000077</v>
      </c>
      <c r="D424" s="306">
        <f t="shared" ca="1" si="182"/>
        <v>-0.88347887487099086</v>
      </c>
      <c r="E424" s="307">
        <f t="shared" ca="1" si="183"/>
        <v>-3.6224609751526176</v>
      </c>
      <c r="F424" s="304">
        <f t="shared" ca="1" si="184"/>
        <v>3.7286402935717686</v>
      </c>
      <c r="G424" s="306">
        <f t="shared" ca="1" si="185"/>
        <v>11.989686424351346</v>
      </c>
      <c r="H424" s="307">
        <f t="shared" ca="1" si="186"/>
        <v>-84.952054381113314</v>
      </c>
      <c r="I424" s="304">
        <f t="shared" ca="1" si="187"/>
        <v>85.793963214936682</v>
      </c>
      <c r="J424" s="306">
        <f t="shared" ca="1" si="188"/>
        <v>633.14542841152104</v>
      </c>
      <c r="K424" s="307">
        <f t="shared" ca="1" si="189"/>
        <v>886.35976088126597</v>
      </c>
      <c r="L424" s="304">
        <f t="shared" ca="1" si="174"/>
        <v>1089.2689104293318</v>
      </c>
      <c r="M424" s="306">
        <f t="shared" ca="1" si="190"/>
        <v>-1.4305876288555766</v>
      </c>
      <c r="N424" s="304">
        <f t="shared" ca="1" si="191"/>
        <v>-81.966633357052359</v>
      </c>
      <c r="P424" s="310">
        <f t="shared" ca="1" si="192"/>
        <v>23</v>
      </c>
      <c r="Q424" s="304">
        <f t="shared" ca="1" si="193"/>
        <v>0</v>
      </c>
      <c r="R424" s="306">
        <f t="shared" ca="1" si="194"/>
        <v>0</v>
      </c>
      <c r="S424" s="307">
        <f t="shared" ca="1" si="195"/>
        <v>2.6792999999999987</v>
      </c>
      <c r="T424" s="304">
        <f t="shared" ca="1" si="175"/>
        <v>26.283932999999987</v>
      </c>
      <c r="U424" s="311">
        <f t="shared" ca="1" si="176"/>
        <v>0</v>
      </c>
      <c r="V424" s="306">
        <f t="shared" ca="1" si="177"/>
        <v>1.1210287269289343</v>
      </c>
      <c r="W424" s="304">
        <f t="shared" ca="1" si="178"/>
        <v>16.896745853959192</v>
      </c>
      <c r="Y424" s="314" t="str">
        <f t="shared" ca="1" si="196"/>
        <v/>
      </c>
      <c r="Z424" s="315" t="str">
        <f t="shared" ca="1" si="197"/>
        <v/>
      </c>
      <c r="AA424" s="316" t="str">
        <f t="shared" ca="1" si="198"/>
        <v/>
      </c>
      <c r="AC424" s="310" t="e">
        <f t="shared" ca="1" si="199"/>
        <v>#N/A</v>
      </c>
      <c r="AD424" s="323" t="e">
        <f t="shared" ca="1" si="200"/>
        <v>#N/A</v>
      </c>
      <c r="AE424" s="324" t="e">
        <f t="shared" ca="1" si="179"/>
        <v>#N/A</v>
      </c>
      <c r="AG424" s="306">
        <f t="shared" ca="1" si="201"/>
        <v>3.4612106244553367</v>
      </c>
      <c r="AH424" s="304">
        <f t="shared" ca="1" si="202"/>
        <v>-6.2502939215970166</v>
      </c>
    </row>
    <row r="425" spans="1:34" x14ac:dyDescent="0.2">
      <c r="A425" s="347">
        <f t="shared" ca="1" si="180"/>
        <v>0.1</v>
      </c>
      <c r="B425" s="304">
        <f t="shared" ca="1" si="181"/>
        <v>27.300000000000079</v>
      </c>
      <c r="D425" s="306">
        <f t="shared" ca="1" si="182"/>
        <v>-0.88131836934733765</v>
      </c>
      <c r="E425" s="307">
        <f t="shared" ca="1" si="183"/>
        <v>-3.5654825547558291</v>
      </c>
      <c r="F425" s="304">
        <f t="shared" ca="1" si="184"/>
        <v>3.6727902086039714</v>
      </c>
      <c r="G425" s="306">
        <f t="shared" ca="1" si="185"/>
        <v>11.901554587416612</v>
      </c>
      <c r="H425" s="307">
        <f t="shared" ca="1" si="186"/>
        <v>-85.308602636588901</v>
      </c>
      <c r="I425" s="304">
        <f t="shared" ca="1" si="187"/>
        <v>86.134805307753965</v>
      </c>
      <c r="J425" s="306">
        <f t="shared" ca="1" si="188"/>
        <v>634.33999046210943</v>
      </c>
      <c r="K425" s="307">
        <f t="shared" ca="1" si="189"/>
        <v>877.84672803038086</v>
      </c>
      <c r="L425" s="304">
        <f t="shared" ca="1" si="174"/>
        <v>1083.0522154601385</v>
      </c>
      <c r="M425" s="306">
        <f t="shared" ca="1" si="190"/>
        <v>-1.4321792569953264</v>
      </c>
      <c r="N425" s="304">
        <f t="shared" ca="1" si="191"/>
        <v>-82.057826932014294</v>
      </c>
      <c r="P425" s="310">
        <f t="shared" ca="1" si="192"/>
        <v>23</v>
      </c>
      <c r="Q425" s="304">
        <f t="shared" ca="1" si="193"/>
        <v>0</v>
      </c>
      <c r="R425" s="306">
        <f t="shared" ca="1" si="194"/>
        <v>0</v>
      </c>
      <c r="S425" s="307">
        <f t="shared" ca="1" si="195"/>
        <v>2.6792999999999987</v>
      </c>
      <c r="T425" s="304">
        <f t="shared" ca="1" si="175"/>
        <v>26.283932999999987</v>
      </c>
      <c r="U425" s="311">
        <f t="shared" ca="1" si="176"/>
        <v>0</v>
      </c>
      <c r="V425" s="306">
        <f t="shared" ca="1" si="177"/>
        <v>1.121985330350812</v>
      </c>
      <c r="W425" s="304">
        <f t="shared" ca="1" si="178"/>
        <v>17.045800486756811</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3.4073299104468768</v>
      </c>
      <c r="AH425" s="304">
        <f t="shared" ca="1" si="202"/>
        <v>-6.3064031104987128</v>
      </c>
    </row>
    <row r="426" spans="1:34" x14ac:dyDescent="0.2">
      <c r="A426" s="347">
        <f t="shared" ca="1" si="180"/>
        <v>0.1</v>
      </c>
      <c r="B426" s="304">
        <f t="shared" ca="1" si="181"/>
        <v>27.40000000000008</v>
      </c>
      <c r="D426" s="306">
        <f t="shared" ca="1" si="182"/>
        <v>-0.87906517073123147</v>
      </c>
      <c r="E426" s="307">
        <f t="shared" ca="1" si="183"/>
        <v>-3.5089894227041656</v>
      </c>
      <c r="F426" s="304">
        <f t="shared" ca="1" si="184"/>
        <v>3.6174248220305065</v>
      </c>
      <c r="G426" s="306">
        <f t="shared" ca="1" si="185"/>
        <v>11.81364807034349</v>
      </c>
      <c r="H426" s="307">
        <f t="shared" ca="1" si="186"/>
        <v>-85.65950157885932</v>
      </c>
      <c r="I426" s="304">
        <f t="shared" ca="1" si="187"/>
        <v>86.470298319530116</v>
      </c>
      <c r="J426" s="306">
        <f t="shared" ca="1" si="188"/>
        <v>635.52575059499748</v>
      </c>
      <c r="K426" s="307">
        <f t="shared" ca="1" si="189"/>
        <v>869.29832281960842</v>
      </c>
      <c r="L426" s="304">
        <f t="shared" ca="1" si="174"/>
        <v>1076.8345061922557</v>
      </c>
      <c r="M426" s="306">
        <f t="shared" ca="1" si="190"/>
        <v>-1.4337468280818813</v>
      </c>
      <c r="N426" s="304">
        <f t="shared" ca="1" si="191"/>
        <v>-82.147642139360613</v>
      </c>
      <c r="P426" s="310">
        <f t="shared" ca="1" si="192"/>
        <v>23</v>
      </c>
      <c r="Q426" s="304">
        <f t="shared" ca="1" si="193"/>
        <v>0</v>
      </c>
      <c r="R426" s="306">
        <f t="shared" ca="1" si="194"/>
        <v>0</v>
      </c>
      <c r="S426" s="307">
        <f t="shared" ca="1" si="195"/>
        <v>2.6792999999999987</v>
      </c>
      <c r="T426" s="304">
        <f t="shared" ca="1" si="175"/>
        <v>26.283932999999987</v>
      </c>
      <c r="U426" s="311">
        <f t="shared" ca="1" si="176"/>
        <v>0</v>
      </c>
      <c r="V426" s="306">
        <f t="shared" ca="1" si="177"/>
        <v>1.1229466938483874</v>
      </c>
      <c r="W426" s="304">
        <f t="shared" ca="1" si="178"/>
        <v>17.193564604231227</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3.3538677096899745</v>
      </c>
      <c r="AH426" s="304">
        <f t="shared" ca="1" si="202"/>
        <v>-6.3620350415245843</v>
      </c>
    </row>
    <row r="427" spans="1:34" x14ac:dyDescent="0.2">
      <c r="A427" s="347">
        <f t="shared" ca="1" si="180"/>
        <v>0.1</v>
      </c>
      <c r="B427" s="304">
        <f t="shared" ca="1" si="181"/>
        <v>27.500000000000082</v>
      </c>
      <c r="D427" s="306">
        <f t="shared" ca="1" si="182"/>
        <v>-0.87672149098249241</v>
      </c>
      <c r="E427" s="307">
        <f t="shared" ca="1" si="183"/>
        <v>-3.452986019740881</v>
      </c>
      <c r="F427" s="304">
        <f t="shared" ca="1" si="184"/>
        <v>3.5625486698817936</v>
      </c>
      <c r="G427" s="306">
        <f t="shared" ca="1" si="185"/>
        <v>11.72597592124524</v>
      </c>
      <c r="H427" s="307">
        <f t="shared" ca="1" si="186"/>
        <v>-86.004800180833413</v>
      </c>
      <c r="I427" s="304">
        <f t="shared" ca="1" si="187"/>
        <v>86.800484822670811</v>
      </c>
      <c r="J427" s="306">
        <f t="shared" ca="1" si="188"/>
        <v>636.70273179457695</v>
      </c>
      <c r="K427" s="307">
        <f t="shared" ca="1" si="189"/>
        <v>860.71510773162379</v>
      </c>
      <c r="L427" s="304">
        <f t="shared" ca="1" si="174"/>
        <v>1070.6170488798214</v>
      </c>
      <c r="M427" s="306">
        <f t="shared" ca="1" si="190"/>
        <v>-1.4352908878272594</v>
      </c>
      <c r="N427" s="304">
        <f t="shared" ca="1" si="191"/>
        <v>-82.236110246086824</v>
      </c>
      <c r="P427" s="310">
        <f t="shared" ca="1" si="192"/>
        <v>23</v>
      </c>
      <c r="Q427" s="304">
        <f t="shared" ca="1" si="193"/>
        <v>0</v>
      </c>
      <c r="R427" s="306">
        <f t="shared" ca="1" si="194"/>
        <v>0</v>
      </c>
      <c r="S427" s="307">
        <f t="shared" ca="1" si="195"/>
        <v>2.6792999999999987</v>
      </c>
      <c r="T427" s="304">
        <f t="shared" ca="1" si="175"/>
        <v>26.283932999999987</v>
      </c>
      <c r="U427" s="311">
        <f t="shared" ca="1" si="176"/>
        <v>0</v>
      </c>
      <c r="V427" s="306">
        <f t="shared" ca="1" si="177"/>
        <v>1.1239127648284259</v>
      </c>
      <c r="W427" s="304">
        <f t="shared" ca="1" si="178"/>
        <v>17.340027225240707</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3.3008303175372919</v>
      </c>
      <c r="AH427" s="304">
        <f t="shared" ca="1" si="202"/>
        <v>-6.4171853111750217</v>
      </c>
    </row>
    <row r="428" spans="1:34" x14ac:dyDescent="0.2">
      <c r="A428" s="347">
        <f t="shared" ca="1" si="180"/>
        <v>0.1</v>
      </c>
      <c r="B428" s="304">
        <f t="shared" ca="1" si="181"/>
        <v>27.600000000000083</v>
      </c>
      <c r="D428" s="306">
        <f t="shared" ca="1" si="182"/>
        <v>-0.87428953100064033</v>
      </c>
      <c r="E428" s="307">
        <f t="shared" ca="1" si="183"/>
        <v>-3.3974764779561788</v>
      </c>
      <c r="F428" s="304">
        <f t="shared" ca="1" si="184"/>
        <v>3.5081659884165743</v>
      </c>
      <c r="G428" s="306">
        <f t="shared" ca="1" si="185"/>
        <v>11.638546968145176</v>
      </c>
      <c r="H428" s="307">
        <f t="shared" ca="1" si="186"/>
        <v>-86.344547828629032</v>
      </c>
      <c r="I428" s="304">
        <f t="shared" ca="1" si="187"/>
        <v>87.1254079775821</v>
      </c>
      <c r="J428" s="306">
        <f t="shared" ca="1" si="188"/>
        <v>637.87095793904643</v>
      </c>
      <c r="K428" s="307">
        <f t="shared" ca="1" si="189"/>
        <v>852.09764033115061</v>
      </c>
      <c r="L428" s="304">
        <f t="shared" ca="1" si="174"/>
        <v>1064.4011215890332</v>
      </c>
      <c r="M428" s="306">
        <f t="shared" ca="1" si="190"/>
        <v>-1.4368119648193169</v>
      </c>
      <c r="N428" s="304">
        <f t="shared" ca="1" si="191"/>
        <v>-82.323261538046182</v>
      </c>
      <c r="P428" s="310">
        <f t="shared" ca="1" si="192"/>
        <v>23</v>
      </c>
      <c r="Q428" s="304">
        <f t="shared" ca="1" si="193"/>
        <v>0</v>
      </c>
      <c r="R428" s="306">
        <f t="shared" ca="1" si="194"/>
        <v>0</v>
      </c>
      <c r="S428" s="307">
        <f t="shared" ca="1" si="195"/>
        <v>2.6792999999999987</v>
      </c>
      <c r="T428" s="304">
        <f t="shared" ca="1" si="175"/>
        <v>26.283932999999987</v>
      </c>
      <c r="U428" s="311">
        <f t="shared" ca="1" si="176"/>
        <v>0</v>
      </c>
      <c r="V428" s="306">
        <f t="shared" ca="1" si="177"/>
        <v>1.1248834911086594</v>
      </c>
      <c r="W428" s="304">
        <f t="shared" ca="1" si="178"/>
        <v>17.485178169632221</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3.2482236498217416</v>
      </c>
      <c r="AH428" s="304">
        <f t="shared" ca="1" si="202"/>
        <v>-6.471849820938572</v>
      </c>
    </row>
    <row r="429" spans="1:34" x14ac:dyDescent="0.2">
      <c r="A429" s="347">
        <f t="shared" ca="1" si="180"/>
        <v>0.1</v>
      </c>
      <c r="B429" s="304">
        <f t="shared" ca="1" si="181"/>
        <v>27.700000000000085</v>
      </c>
      <c r="D429" s="306">
        <f t="shared" ca="1" si="182"/>
        <v>-0.87177147951044731</v>
      </c>
      <c r="E429" s="307">
        <f t="shared" ca="1" si="183"/>
        <v>-3.342464626877681</v>
      </c>
      <c r="F429" s="304">
        <f t="shared" ca="1" si="184"/>
        <v>3.4542807202681702</v>
      </c>
      <c r="G429" s="306">
        <f t="shared" ca="1" si="185"/>
        <v>11.551369820194132</v>
      </c>
      <c r="H429" s="307">
        <f t="shared" ca="1" si="186"/>
        <v>-86.678794291316805</v>
      </c>
      <c r="I429" s="304">
        <f t="shared" ca="1" si="187"/>
        <v>87.44511149583667</v>
      </c>
      <c r="J429" s="306">
        <f t="shared" ca="1" si="188"/>
        <v>639.03045377846342</v>
      </c>
      <c r="K429" s="307">
        <f t="shared" ca="1" si="189"/>
        <v>843.44647322515334</v>
      </c>
      <c r="L429" s="304">
        <f t="shared" ca="1" si="174"/>
        <v>1058.188014509831</v>
      </c>
      <c r="M429" s="306">
        <f t="shared" ca="1" si="190"/>
        <v>-1.4383105711845405</v>
      </c>
      <c r="N429" s="304">
        <f t="shared" ca="1" si="191"/>
        <v>-82.409125357924935</v>
      </c>
      <c r="P429" s="310">
        <f t="shared" ca="1" si="192"/>
        <v>23</v>
      </c>
      <c r="Q429" s="304">
        <f t="shared" ca="1" si="193"/>
        <v>0</v>
      </c>
      <c r="R429" s="306">
        <f t="shared" ca="1" si="194"/>
        <v>0</v>
      </c>
      <c r="S429" s="307">
        <f t="shared" ca="1" si="195"/>
        <v>2.6792999999999987</v>
      </c>
      <c r="T429" s="304">
        <f t="shared" ca="1" si="175"/>
        <v>26.283932999999987</v>
      </c>
      <c r="U429" s="311">
        <f t="shared" ca="1" si="176"/>
        <v>0</v>
      </c>
      <c r="V429" s="306">
        <f t="shared" ca="1" si="177"/>
        <v>1.1258588209221485</v>
      </c>
      <c r="W429" s="304">
        <f t="shared" ca="1" si="178"/>
        <v>17.629008041922557</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3.1960532523740675</v>
      </c>
      <c r="AH429" s="304">
        <f t="shared" ca="1" si="202"/>
        <v>-6.5260247712582498</v>
      </c>
    </row>
    <row r="430" spans="1:34" x14ac:dyDescent="0.2">
      <c r="A430" s="347">
        <f t="shared" ca="1" si="180"/>
        <v>0.1</v>
      </c>
      <c r="B430" s="304">
        <f t="shared" ca="1" si="181"/>
        <v>27.800000000000086</v>
      </c>
      <c r="D430" s="306">
        <f t="shared" ca="1" si="182"/>
        <v>-0.86916951199734094</v>
      </c>
      <c r="E430" s="307">
        <f t="shared" ca="1" si="183"/>
        <v>-3.2879539996204876</v>
      </c>
      <c r="F430" s="304">
        <f t="shared" ca="1" si="184"/>
        <v>3.4008965206554076</v>
      </c>
      <c r="G430" s="306">
        <f t="shared" ca="1" si="185"/>
        <v>11.464452868994398</v>
      </c>
      <c r="H430" s="307">
        <f t="shared" ca="1" si="186"/>
        <v>-87.007589691278852</v>
      </c>
      <c r="I430" s="304">
        <f t="shared" ca="1" si="187"/>
        <v>87.75963960426985</v>
      </c>
      <c r="J430" s="306">
        <f t="shared" ca="1" si="188"/>
        <v>640.18124491292281</v>
      </c>
      <c r="K430" s="307">
        <f t="shared" ca="1" si="189"/>
        <v>834.76215402602361</v>
      </c>
      <c r="L430" s="304">
        <f t="shared" ca="1" si="174"/>
        <v>1051.9790302721944</v>
      </c>
      <c r="M430" s="306">
        <f t="shared" ca="1" si="190"/>
        <v>-1.4397872032207932</v>
      </c>
      <c r="N430" s="304">
        <f t="shared" ca="1" si="191"/>
        <v>-82.493730141496016</v>
      </c>
      <c r="P430" s="310">
        <f t="shared" ca="1" si="192"/>
        <v>23</v>
      </c>
      <c r="Q430" s="304">
        <f t="shared" ca="1" si="193"/>
        <v>0</v>
      </c>
      <c r="R430" s="306">
        <f t="shared" ca="1" si="194"/>
        <v>0</v>
      </c>
      <c r="S430" s="307">
        <f t="shared" ca="1" si="195"/>
        <v>2.6792999999999987</v>
      </c>
      <c r="T430" s="304">
        <f t="shared" ca="1" si="175"/>
        <v>26.283932999999987</v>
      </c>
      <c r="U430" s="311">
        <f t="shared" ca="1" si="176"/>
        <v>0</v>
      </c>
      <c r="V430" s="306">
        <f t="shared" ca="1" si="177"/>
        <v>1.1268387029213791</v>
      </c>
      <c r="W430" s="304">
        <f t="shared" ca="1" si="178"/>
        <v>17.771508214849888</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3.1443243104102905</v>
      </c>
      <c r="AH430" s="304">
        <f t="shared" ca="1" si="202"/>
        <v>-6.5797066554408108</v>
      </c>
    </row>
    <row r="431" spans="1:34" x14ac:dyDescent="0.2">
      <c r="A431" s="347">
        <f t="shared" ca="1" si="180"/>
        <v>0.1</v>
      </c>
      <c r="B431" s="304">
        <f t="shared" ca="1" si="181"/>
        <v>27.900000000000087</v>
      </c>
      <c r="D431" s="306">
        <f t="shared" ca="1" si="182"/>
        <v>-0.86648578969177492</v>
      </c>
      <c r="E431" s="307">
        <f t="shared" ca="1" si="183"/>
        <v>-3.2339478390878815</v>
      </c>
      <c r="F431" s="304">
        <f t="shared" ca="1" si="184"/>
        <v>3.3480167636496319</v>
      </c>
      <c r="G431" s="306">
        <f t="shared" ca="1" si="185"/>
        <v>11.377804290025221</v>
      </c>
      <c r="H431" s="307">
        <f t="shared" ca="1" si="186"/>
        <v>-87.330984475187634</v>
      </c>
      <c r="I431" s="304">
        <f t="shared" ca="1" si="187"/>
        <v>88.069037009993366</v>
      </c>
      <c r="J431" s="306">
        <f t="shared" ca="1" si="188"/>
        <v>641.32335777087383</v>
      </c>
      <c r="K431" s="307">
        <f t="shared" ca="1" si="189"/>
        <v>826.04522531770033</v>
      </c>
      <c r="L431" s="304">
        <f t="shared" ca="1" si="174"/>
        <v>1045.7754842664265</v>
      </c>
      <c r="M431" s="306">
        <f t="shared" ca="1" si="190"/>
        <v>-1.4412423420015696</v>
      </c>
      <c r="N431" s="304">
        <f t="shared" ca="1" si="191"/>
        <v>-82.577103452240323</v>
      </c>
      <c r="P431" s="310">
        <f t="shared" ca="1" si="192"/>
        <v>23</v>
      </c>
      <c r="Q431" s="304">
        <f t="shared" ca="1" si="193"/>
        <v>0</v>
      </c>
      <c r="R431" s="306">
        <f t="shared" ca="1" si="194"/>
        <v>0</v>
      </c>
      <c r="S431" s="307">
        <f t="shared" ca="1" si="195"/>
        <v>2.6792999999999987</v>
      </c>
      <c r="T431" s="304">
        <f t="shared" ca="1" si="175"/>
        <v>26.283932999999987</v>
      </c>
      <c r="U431" s="311">
        <f t="shared" ca="1" si="176"/>
        <v>0</v>
      </c>
      <c r="V431" s="306">
        <f t="shared" ca="1" si="177"/>
        <v>1.127823086182101</v>
      </c>
      <c r="W431" s="304">
        <f t="shared" ca="1" si="178"/>
        <v>17.91267081281886</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3.09304165779157</v>
      </c>
      <c r="AH431" s="304">
        <f t="shared" ca="1" si="202"/>
        <v>-6.6328922535176709</v>
      </c>
    </row>
    <row r="432" spans="1:34" x14ac:dyDescent="0.2">
      <c r="A432" s="347">
        <f t="shared" ca="1" si="180"/>
        <v>0.1</v>
      </c>
      <c r="B432" s="304">
        <f t="shared" ca="1" si="181"/>
        <v>28.000000000000089</v>
      </c>
      <c r="D432" s="306">
        <f t="shared" ca="1" si="182"/>
        <v>-0.86372245860170149</v>
      </c>
      <c r="E432" s="307">
        <f t="shared" ca="1" si="183"/>
        <v>-3.1804491042138654</v>
      </c>
      <c r="F432" s="304">
        <f t="shared" ca="1" si="184"/>
        <v>3.2956445484893764</v>
      </c>
      <c r="G432" s="306">
        <f t="shared" ca="1" si="185"/>
        <v>11.291432044165051</v>
      </c>
      <c r="H432" s="307">
        <f t="shared" ca="1" si="186"/>
        <v>-87.649029385609026</v>
      </c>
      <c r="I432" s="304">
        <f t="shared" ca="1" si="187"/>
        <v>88.373348866314615</v>
      </c>
      <c r="J432" s="306">
        <f t="shared" ca="1" si="188"/>
        <v>642.45681958758337</v>
      </c>
      <c r="K432" s="307">
        <f t="shared" ca="1" si="189"/>
        <v>817.29622462466045</v>
      </c>
      <c r="L432" s="304">
        <f t="shared" ca="1" si="174"/>
        <v>1039.578704966736</v>
      </c>
      <c r="M432" s="306">
        <f t="shared" ca="1" si="190"/>
        <v>-1.4426764539532277</v>
      </c>
      <c r="N432" s="304">
        <f t="shared" ca="1" si="191"/>
        <v>-82.659272014419599</v>
      </c>
      <c r="P432" s="310">
        <f t="shared" ca="1" si="192"/>
        <v>23</v>
      </c>
      <c r="Q432" s="304">
        <f t="shared" ca="1" si="193"/>
        <v>0</v>
      </c>
      <c r="R432" s="306">
        <f t="shared" ca="1" si="194"/>
        <v>0</v>
      </c>
      <c r="S432" s="307">
        <f t="shared" ca="1" si="195"/>
        <v>2.6792999999999987</v>
      </c>
      <c r="T432" s="304">
        <f t="shared" ca="1" si="175"/>
        <v>26.283932999999987</v>
      </c>
      <c r="U432" s="311">
        <f t="shared" ca="1" si="176"/>
        <v>0</v>
      </c>
      <c r="V432" s="306">
        <f t="shared" ca="1" si="177"/>
        <v>1.1288119202069182</v>
      </c>
      <c r="W432" s="304">
        <f t="shared" ca="1" si="178"/>
        <v>18.052488695261271</v>
      </c>
      <c r="Y432" s="314" t="str">
        <f t="shared" ca="1" si="196"/>
        <v/>
      </c>
      <c r="Z432" s="315" t="str">
        <f t="shared" ca="1" si="197"/>
        <v/>
      </c>
      <c r="AA432" s="316" t="str">
        <f t="shared" ca="1" si="198"/>
        <v/>
      </c>
      <c r="AC432" s="310">
        <f t="shared" ca="1" si="199"/>
        <v>28.000000000000089</v>
      </c>
      <c r="AD432" s="323">
        <f t="shared" ca="1" si="200"/>
        <v>642.45681958758337</v>
      </c>
      <c r="AE432" s="324" t="e">
        <f t="shared" ca="1" si="179"/>
        <v>#N/A</v>
      </c>
      <c r="AG432" s="306">
        <f t="shared" ca="1" si="201"/>
        <v>3.0422097861584874</v>
      </c>
      <c r="AH432" s="304">
        <f t="shared" ca="1" si="202"/>
        <v>-6.6855786260660874</v>
      </c>
    </row>
    <row r="433" spans="1:34" x14ac:dyDescent="0.2">
      <c r="A433" s="347">
        <f t="shared" ca="1" si="180"/>
        <v>0.1</v>
      </c>
      <c r="B433" s="304">
        <f t="shared" ca="1" si="181"/>
        <v>28.10000000000009</v>
      </c>
      <c r="D433" s="306">
        <f t="shared" ca="1" si="182"/>
        <v>-0.86088164859225169</v>
      </c>
      <c r="E433" s="307">
        <f t="shared" ca="1" si="183"/>
        <v>-3.127460476239051</v>
      </c>
      <c r="F433" s="304">
        <f t="shared" ca="1" si="184"/>
        <v>3.2437827059345858</v>
      </c>
      <c r="G433" s="306">
        <f t="shared" ca="1" si="185"/>
        <v>11.205343879305826</v>
      </c>
      <c r="H433" s="307">
        <f t="shared" ca="1" si="186"/>
        <v>-87.96177543323293</v>
      </c>
      <c r="I433" s="304">
        <f t="shared" ca="1" si="187"/>
        <v>88.672620739549572</v>
      </c>
      <c r="J433" s="306">
        <f t="shared" ca="1" si="188"/>
        <v>643.58165838375692</v>
      </c>
      <c r="K433" s="307">
        <f t="shared" ca="1" si="189"/>
        <v>808.51568438371839</v>
      </c>
      <c r="L433" s="304">
        <f t="shared" ca="1" si="174"/>
        <v>1033.3900342573754</v>
      </c>
      <c r="M433" s="306">
        <f t="shared" ca="1" si="190"/>
        <v>-1.4440899914065766</v>
      </c>
      <c r="N433" s="304">
        <f t="shared" ca="1" si="191"/>
        <v>-82.740261744680154</v>
      </c>
      <c r="P433" s="310">
        <f t="shared" ca="1" si="192"/>
        <v>23</v>
      </c>
      <c r="Q433" s="304">
        <f t="shared" ca="1" si="193"/>
        <v>0</v>
      </c>
      <c r="R433" s="306">
        <f t="shared" ca="1" si="194"/>
        <v>0</v>
      </c>
      <c r="S433" s="307">
        <f t="shared" ca="1" si="195"/>
        <v>2.6792999999999987</v>
      </c>
      <c r="T433" s="304">
        <f t="shared" ca="1" si="175"/>
        <v>26.283932999999987</v>
      </c>
      <c r="U433" s="311">
        <f t="shared" ca="1" si="176"/>
        <v>0</v>
      </c>
      <c r="V433" s="306">
        <f t="shared" ca="1" si="177"/>
        <v>1.1298051549286288</v>
      </c>
      <c r="W433" s="304">
        <f t="shared" ca="1" si="178"/>
        <v>18.190955439933479</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2.9918328539413324</v>
      </c>
      <c r="AH433" s="304">
        <f t="shared" ca="1" si="202"/>
        <v>-6.7377631079988358</v>
      </c>
    </row>
    <row r="434" spans="1:34" x14ac:dyDescent="0.2">
      <c r="A434" s="347">
        <f t="shared" ca="1" si="180"/>
        <v>0.1</v>
      </c>
      <c r="B434" s="304">
        <f t="shared" ca="1" si="181"/>
        <v>28.200000000000092</v>
      </c>
      <c r="D434" s="306">
        <f t="shared" ca="1" si="182"/>
        <v>-0.85796547251172228</v>
      </c>
      <c r="E434" s="307">
        <f t="shared" ca="1" si="183"/>
        <v>-3.0749843650118329</v>
      </c>
      <c r="F434" s="304">
        <f t="shared" ca="1" si="184"/>
        <v>3.1924338046527274</v>
      </c>
      <c r="G434" s="306">
        <f t="shared" ca="1" si="185"/>
        <v>11.119547332054653</v>
      </c>
      <c r="H434" s="307">
        <f t="shared" ca="1" si="186"/>
        <v>-88.269273869734107</v>
      </c>
      <c r="I434" s="304">
        <f t="shared" ca="1" si="187"/>
        <v>88.966898576717441</v>
      </c>
      <c r="J434" s="306">
        <f t="shared" ca="1" si="188"/>
        <v>644.69790294432494</v>
      </c>
      <c r="K434" s="307">
        <f t="shared" ca="1" si="189"/>
        <v>799.70413191857006</v>
      </c>
      <c r="L434" s="304">
        <f t="shared" ca="1" si="174"/>
        <v>1027.2108277605157</v>
      </c>
      <c r="M434" s="306">
        <f t="shared" ca="1" si="190"/>
        <v>-1.4454833931241293</v>
      </c>
      <c r="N434" s="304">
        <f t="shared" ca="1" si="191"/>
        <v>-82.820097782262209</v>
      </c>
      <c r="P434" s="310">
        <f t="shared" ca="1" si="192"/>
        <v>23</v>
      </c>
      <c r="Q434" s="304">
        <f t="shared" ca="1" si="193"/>
        <v>0</v>
      </c>
      <c r="R434" s="306">
        <f t="shared" ca="1" si="194"/>
        <v>0</v>
      </c>
      <c r="S434" s="307">
        <f t="shared" ca="1" si="195"/>
        <v>2.6792999999999987</v>
      </c>
      <c r="T434" s="304">
        <f t="shared" ca="1" si="175"/>
        <v>26.283932999999987</v>
      </c>
      <c r="U434" s="311">
        <f t="shared" ca="1" si="176"/>
        <v>0</v>
      </c>
      <c r="V434" s="306">
        <f t="shared" ca="1" si="177"/>
        <v>1.1308027407133232</v>
      </c>
      <c r="W434" s="304">
        <f t="shared" ca="1" si="178"/>
        <v>18.328065326171171</v>
      </c>
      <c r="Y434" s="314" t="str">
        <f t="shared" ca="1" si="196"/>
        <v/>
      </c>
      <c r="Z434" s="315" t="str">
        <f t="shared" ca="1" si="197"/>
        <v/>
      </c>
      <c r="AA434" s="316" t="str">
        <f t="shared" ca="1" si="198"/>
        <v/>
      </c>
      <c r="AC434" s="310" t="e">
        <f t="shared" ca="1" si="199"/>
        <v>#N/A</v>
      </c>
      <c r="AD434" s="323" t="e">
        <f t="shared" ca="1" si="200"/>
        <v>#N/A</v>
      </c>
      <c r="AE434" s="324" t="e">
        <f t="shared" ca="1" si="179"/>
        <v>#N/A</v>
      </c>
      <c r="AG434" s="306">
        <f t="shared" ca="1" si="201"/>
        <v>2.941914695247716</v>
      </c>
      <c r="AH434" s="304">
        <f t="shared" ca="1" si="202"/>
        <v>-6.7894433023302678</v>
      </c>
    </row>
    <row r="435" spans="1:34" x14ac:dyDescent="0.2">
      <c r="A435" s="347">
        <f t="shared" ca="1" si="180"/>
        <v>0.1</v>
      </c>
      <c r="B435" s="304">
        <f t="shared" ca="1" si="181"/>
        <v>28.300000000000093</v>
      </c>
      <c r="D435" s="306">
        <f t="shared" ca="1" si="182"/>
        <v>-0.85497602536290529</v>
      </c>
      <c r="E435" s="307">
        <f t="shared" ca="1" si="183"/>
        <v>-3.0230229153069246</v>
      </c>
      <c r="F435" s="304">
        <f t="shared" ca="1" si="184"/>
        <v>3.14160015762925</v>
      </c>
      <c r="G435" s="306">
        <f t="shared" ca="1" si="185"/>
        <v>11.034049729518362</v>
      </c>
      <c r="H435" s="307">
        <f t="shared" ca="1" si="186"/>
        <v>-88.571576161264801</v>
      </c>
      <c r="I435" s="304">
        <f t="shared" ca="1" si="187"/>
        <v>89.256228674105515</v>
      </c>
      <c r="J435" s="306">
        <f t="shared" ca="1" si="188"/>
        <v>645.80558279740364</v>
      </c>
      <c r="K435" s="307">
        <f t="shared" ca="1" si="189"/>
        <v>790.86208941702012</v>
      </c>
      <c r="L435" s="304">
        <f t="shared" ca="1" si="174"/>
        <v>1021.0424551649892</v>
      </c>
      <c r="M435" s="306">
        <f t="shared" ca="1" si="190"/>
        <v>-1.4468570848042439</v>
      </c>
      <c r="N435" s="304">
        <f t="shared" ca="1" si="191"/>
        <v>-82.898804517885011</v>
      </c>
      <c r="P435" s="310">
        <f t="shared" ca="1" si="192"/>
        <v>23</v>
      </c>
      <c r="Q435" s="304">
        <f t="shared" ca="1" si="193"/>
        <v>0</v>
      </c>
      <c r="R435" s="306">
        <f t="shared" ca="1" si="194"/>
        <v>0</v>
      </c>
      <c r="S435" s="307">
        <f t="shared" ca="1" si="195"/>
        <v>2.6792999999999987</v>
      </c>
      <c r="T435" s="304">
        <f t="shared" ca="1" si="175"/>
        <v>26.283932999999987</v>
      </c>
      <c r="U435" s="311">
        <f t="shared" ca="1" si="176"/>
        <v>0</v>
      </c>
      <c r="V435" s="306">
        <f t="shared" ca="1" si="177"/>
        <v>1.131804628363247</v>
      </c>
      <c r="W435" s="304">
        <f t="shared" ca="1" si="178"/>
        <v>18.463813318121215</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2.8924588286284019</v>
      </c>
      <c r="AH435" s="304">
        <f t="shared" ca="1" si="202"/>
        <v>-6.8406170739264658</v>
      </c>
    </row>
    <row r="436" spans="1:34" x14ac:dyDescent="0.2">
      <c r="A436" s="347">
        <f t="shared" ca="1" si="180"/>
        <v>0.1</v>
      </c>
      <c r="B436" s="304">
        <f t="shared" ca="1" si="181"/>
        <v>28.400000000000095</v>
      </c>
      <c r="D436" s="306">
        <f t="shared" ca="1" si="182"/>
        <v>-0.8519153835188551</v>
      </c>
      <c r="E436" s="307">
        <f t="shared" ca="1" si="183"/>
        <v>-2.9715780131537377</v>
      </c>
      <c r="F436" s="304">
        <f t="shared" ca="1" si="184"/>
        <v>3.0912838285952962</v>
      </c>
      <c r="G436" s="306">
        <f t="shared" ca="1" si="185"/>
        <v>10.948858191166476</v>
      </c>
      <c r="H436" s="307">
        <f t="shared" ca="1" si="186"/>
        <v>-88.86873396258018</v>
      </c>
      <c r="I436" s="304">
        <f t="shared" ca="1" si="187"/>
        <v>89.540657646692125</v>
      </c>
      <c r="J436" s="306">
        <f t="shared" ca="1" si="188"/>
        <v>646.9047281934379</v>
      </c>
      <c r="K436" s="307">
        <f t="shared" ca="1" si="189"/>
        <v>781.99007391082785</v>
      </c>
      <c r="L436" s="304">
        <f t="shared" ca="1" si="174"/>
        <v>1014.8863005549379</v>
      </c>
      <c r="M436" s="306">
        <f t="shared" ca="1" si="190"/>
        <v>-1.4482114795633125</v>
      </c>
      <c r="N436" s="304">
        <f t="shared" ca="1" si="191"/>
        <v>-82.976405621374283</v>
      </c>
      <c r="P436" s="310">
        <f t="shared" ca="1" si="192"/>
        <v>23</v>
      </c>
      <c r="Q436" s="304">
        <f t="shared" ca="1" si="193"/>
        <v>0</v>
      </c>
      <c r="R436" s="306">
        <f t="shared" ca="1" si="194"/>
        <v>0</v>
      </c>
      <c r="S436" s="307">
        <f t="shared" ca="1" si="195"/>
        <v>2.6792999999999987</v>
      </c>
      <c r="T436" s="304">
        <f t="shared" ca="1" si="175"/>
        <v>26.283932999999987</v>
      </c>
      <c r="U436" s="311">
        <f t="shared" ca="1" si="176"/>
        <v>0</v>
      </c>
      <c r="V436" s="306">
        <f t="shared" ca="1" si="177"/>
        <v>1.1328107691194278</v>
      </c>
      <c r="W436" s="304">
        <f t="shared" ca="1" si="178"/>
        <v>18.598195047969334</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2.8434684657220757</v>
      </c>
      <c r="AH436" s="304">
        <f t="shared" ca="1" si="202"/>
        <v>-6.8912825432468274</v>
      </c>
    </row>
    <row r="437" spans="1:34" x14ac:dyDescent="0.2">
      <c r="A437" s="347">
        <f t="shared" ca="1" si="180"/>
        <v>0.1</v>
      </c>
      <c r="B437" s="304">
        <f t="shared" ca="1" si="181"/>
        <v>28.500000000000096</v>
      </c>
      <c r="D437" s="306">
        <f t="shared" ca="1" si="182"/>
        <v>-0.84878560398211966</v>
      </c>
      <c r="E437" s="307">
        <f t="shared" ca="1" si="183"/>
        <v>-2.9206512921674221</v>
      </c>
      <c r="F437" s="304">
        <f t="shared" ca="1" si="184"/>
        <v>3.0414866384658876</v>
      </c>
      <c r="G437" s="306">
        <f t="shared" ca="1" si="185"/>
        <v>10.863979630768265</v>
      </c>
      <c r="H437" s="307">
        <f t="shared" ca="1" si="186"/>
        <v>-89.160799091796918</v>
      </c>
      <c r="I437" s="304">
        <f t="shared" ca="1" si="187"/>
        <v>89.820232398416351</v>
      </c>
      <c r="J437" s="306">
        <f t="shared" ca="1" si="188"/>
        <v>647.99537008453467</v>
      </c>
      <c r="K437" s="307">
        <f t="shared" ca="1" si="189"/>
        <v>773.08859725810896</v>
      </c>
      <c r="L437" s="304">
        <f t="shared" ca="1" si="174"/>
        <v>1008.7437627373483</v>
      </c>
      <c r="M437" s="306">
        <f t="shared" ca="1" si="190"/>
        <v>-1.4495469783970965</v>
      </c>
      <c r="N437" s="304">
        <f t="shared" ca="1" si="191"/>
        <v>-83.05292406809474</v>
      </c>
      <c r="P437" s="310">
        <f t="shared" ca="1" si="192"/>
        <v>23</v>
      </c>
      <c r="Q437" s="304">
        <f t="shared" ca="1" si="193"/>
        <v>0</v>
      </c>
      <c r="R437" s="306">
        <f t="shared" ca="1" si="194"/>
        <v>0</v>
      </c>
      <c r="S437" s="307">
        <f t="shared" ca="1" si="195"/>
        <v>2.6792999999999987</v>
      </c>
      <c r="T437" s="304">
        <f t="shared" ca="1" si="175"/>
        <v>26.283932999999987</v>
      </c>
      <c r="U437" s="311">
        <f t="shared" ca="1" si="176"/>
        <v>0</v>
      </c>
      <c r="V437" s="306">
        <f t="shared" ca="1" si="177"/>
        <v>1.1338211146640771</v>
      </c>
      <c r="W437" s="304">
        <f t="shared" ca="1" si="178"/>
        <v>18.731206799181933</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2.7949465197794892</v>
      </c>
      <c r="AH437" s="304">
        <f t="shared" ca="1" si="202"/>
        <v>-6.9414380800841053</v>
      </c>
    </row>
    <row r="438" spans="1:34" x14ac:dyDescent="0.2">
      <c r="A438" s="347">
        <f t="shared" ca="1" si="180"/>
        <v>0.1</v>
      </c>
      <c r="B438" s="304">
        <f t="shared" ca="1" si="181"/>
        <v>28.600000000000097</v>
      </c>
      <c r="D438" s="306">
        <f t="shared" ca="1" si="182"/>
        <v>-0.84558872368645277</v>
      </c>
      <c r="E438" s="307">
        <f t="shared" ca="1" si="183"/>
        <v>-2.8702441398755445</v>
      </c>
      <c r="F438" s="304">
        <f t="shared" ca="1" si="184"/>
        <v>2.9922101717819869</v>
      </c>
      <c r="G438" s="306">
        <f t="shared" ca="1" si="185"/>
        <v>10.779420758399619</v>
      </c>
      <c r="H438" s="307">
        <f t="shared" ca="1" si="186"/>
        <v>-89.44782350578447</v>
      </c>
      <c r="I438" s="304">
        <f t="shared" ca="1" si="187"/>
        <v>90.095000093282565</v>
      </c>
      <c r="J438" s="306">
        <f t="shared" ca="1" si="188"/>
        <v>649.0775401039931</v>
      </c>
      <c r="K438" s="307">
        <f t="shared" ca="1" si="189"/>
        <v>764.15816612822994</v>
      </c>
      <c r="L438" s="304">
        <f t="shared" ca="1" si="174"/>
        <v>1002.6162555673583</v>
      </c>
      <c r="M438" s="306">
        <f t="shared" ca="1" si="190"/>
        <v>-1.4508639706222335</v>
      </c>
      <c r="N438" s="304">
        <f t="shared" ca="1" si="191"/>
        <v>-83.128382164246645</v>
      </c>
      <c r="P438" s="310">
        <f t="shared" ca="1" si="192"/>
        <v>23</v>
      </c>
      <c r="Q438" s="304">
        <f t="shared" ca="1" si="193"/>
        <v>0</v>
      </c>
      <c r="R438" s="306">
        <f t="shared" ca="1" si="194"/>
        <v>0</v>
      </c>
      <c r="S438" s="307">
        <f t="shared" ca="1" si="195"/>
        <v>2.6792999999999987</v>
      </c>
      <c r="T438" s="304">
        <f t="shared" ca="1" si="175"/>
        <v>26.283932999999987</v>
      </c>
      <c r="U438" s="311">
        <f t="shared" ca="1" si="176"/>
        <v>0</v>
      </c>
      <c r="V438" s="306">
        <f t="shared" ca="1" si="177"/>
        <v>1.1348356171227696</v>
      </c>
      <c r="W438" s="304">
        <f t="shared" ca="1" si="178"/>
        <v>18.862845489779328</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2.7468956140672827</v>
      </c>
      <c r="AH438" s="304">
        <f t="shared" ca="1" si="202"/>
        <v>-6.991082297309724</v>
      </c>
    </row>
    <row r="439" spans="1:34" x14ac:dyDescent="0.2">
      <c r="A439" s="347">
        <f t="shared" ca="1" si="180"/>
        <v>0.1</v>
      </c>
      <c r="B439" s="304">
        <f t="shared" ca="1" si="181"/>
        <v>28.700000000000099</v>
      </c>
      <c r="D439" s="306">
        <f t="shared" ca="1" si="182"/>
        <v>-0.84232675884006303</v>
      </c>
      <c r="E439" s="307">
        <f t="shared" ca="1" si="183"/>
        <v>-2.8203577040338503</v>
      </c>
      <c r="F439" s="304">
        <f t="shared" ca="1" si="184"/>
        <v>2.9434557831503256</v>
      </c>
      <c r="G439" s="306">
        <f t="shared" ca="1" si="185"/>
        <v>10.695188082515612</v>
      </c>
      <c r="H439" s="307">
        <f t="shared" ca="1" si="186"/>
        <v>-89.729859276187852</v>
      </c>
      <c r="I439" s="304">
        <f t="shared" ca="1" si="187"/>
        <v>90.365008127288178</v>
      </c>
      <c r="J439" s="306">
        <f t="shared" ca="1" si="188"/>
        <v>650.15127054603886</v>
      </c>
      <c r="K439" s="307">
        <f t="shared" ca="1" si="189"/>
        <v>755.19928198913135</v>
      </c>
      <c r="L439" s="304">
        <f t="shared" ca="1" si="174"/>
        <v>996.50520827014657</v>
      </c>
      <c r="M439" s="306">
        <f t="shared" ca="1" si="190"/>
        <v>-1.4521628342988973</v>
      </c>
      <c r="N439" s="304">
        <f t="shared" ca="1" si="191"/>
        <v>-83.202801571082318</v>
      </c>
      <c r="P439" s="310">
        <f t="shared" ca="1" si="192"/>
        <v>23</v>
      </c>
      <c r="Q439" s="304">
        <f t="shared" ca="1" si="193"/>
        <v>0</v>
      </c>
      <c r="R439" s="306">
        <f t="shared" ca="1" si="194"/>
        <v>0</v>
      </c>
      <c r="S439" s="307">
        <f t="shared" ca="1" si="195"/>
        <v>2.6792999999999987</v>
      </c>
      <c r="T439" s="304">
        <f t="shared" ca="1" si="175"/>
        <v>26.283932999999987</v>
      </c>
      <c r="U439" s="311">
        <f t="shared" ca="1" si="176"/>
        <v>0</v>
      </c>
      <c r="V439" s="306">
        <f t="shared" ca="1" si="177"/>
        <v>1.1358542290664024</v>
      </c>
      <c r="W439" s="304">
        <f t="shared" ca="1" si="178"/>
        <v>18.993108655656926</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2.6993180901515519</v>
      </c>
      <c r="AH439" s="304">
        <f t="shared" ca="1" si="202"/>
        <v>-7.0402140446308135</v>
      </c>
    </row>
    <row r="440" spans="1:34" x14ac:dyDescent="0.2">
      <c r="A440" s="347">
        <f t="shared" ca="1" si="180"/>
        <v>0.1</v>
      </c>
      <c r="B440" s="304">
        <f t="shared" ca="1" si="181"/>
        <v>28.8000000000001</v>
      </c>
      <c r="D440" s="306">
        <f t="shared" ca="1" si="182"/>
        <v>-0.83900170430938459</v>
      </c>
      <c r="E440" s="307">
        <f t="shared" ca="1" si="183"/>
        <v>-2.7709928989247388</v>
      </c>
      <c r="F440" s="304">
        <f t="shared" ca="1" si="184"/>
        <v>2.8952246036750551</v>
      </c>
      <c r="G440" s="306">
        <f t="shared" ca="1" si="185"/>
        <v>10.611287912084673</v>
      </c>
      <c r="H440" s="307">
        <f t="shared" ca="1" si="186"/>
        <v>-90.006958566080328</v>
      </c>
      <c r="I440" s="304">
        <f t="shared" ca="1" si="187"/>
        <v>90.630304101162849</v>
      </c>
      <c r="J440" s="306">
        <f t="shared" ca="1" si="188"/>
        <v>651.21659434576884</v>
      </c>
      <c r="K440" s="307">
        <f t="shared" ca="1" si="189"/>
        <v>746.21244109701797</v>
      </c>
      <c r="L440" s="304">
        <f t="shared" ca="1" si="174"/>
        <v>990.41206575812282</v>
      </c>
      <c r="M440" s="306">
        <f t="shared" ca="1" si="190"/>
        <v>-1.4534439366355283</v>
      </c>
      <c r="N440" s="304">
        <f t="shared" ca="1" si="191"/>
        <v>-83.276203328095619</v>
      </c>
      <c r="P440" s="310">
        <f t="shared" ca="1" si="192"/>
        <v>23</v>
      </c>
      <c r="Q440" s="304">
        <f t="shared" ca="1" si="193"/>
        <v>0</v>
      </c>
      <c r="R440" s="306">
        <f t="shared" ca="1" si="194"/>
        <v>0</v>
      </c>
      <c r="S440" s="307">
        <f t="shared" ca="1" si="195"/>
        <v>2.6792999999999987</v>
      </c>
      <c r="T440" s="304">
        <f t="shared" ca="1" si="175"/>
        <v>26.283932999999987</v>
      </c>
      <c r="U440" s="311">
        <f t="shared" ca="1" si="176"/>
        <v>0</v>
      </c>
      <c r="V440" s="306">
        <f t="shared" ca="1" si="177"/>
        <v>1.1368769035129471</v>
      </c>
      <c r="W440" s="304">
        <f t="shared" ca="1" si="178"/>
        <v>19.121994433970315</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2.6522160160611836</v>
      </c>
      <c r="AH440" s="304">
        <f t="shared" ca="1" si="202"/>
        <v>-7.0888324023651457</v>
      </c>
    </row>
    <row r="441" spans="1:34" x14ac:dyDescent="0.2">
      <c r="A441" s="347">
        <f t="shared" ca="1" si="180"/>
        <v>0.1</v>
      </c>
      <c r="B441" s="304">
        <f t="shared" ca="1" si="181"/>
        <v>28.900000000000102</v>
      </c>
      <c r="D441" s="306">
        <f t="shared" ca="1" si="182"/>
        <v>-0.83561553304239122</v>
      </c>
      <c r="E441" s="307">
        <f t="shared" ca="1" si="183"/>
        <v>-2.722150411632386</v>
      </c>
      <c r="F441" s="304">
        <f t="shared" ca="1" si="184"/>
        <v>2.8475175473756238</v>
      </c>
      <c r="G441" s="306">
        <f t="shared" ca="1" si="185"/>
        <v>10.527726358780434</v>
      </c>
      <c r="H441" s="307">
        <f t="shared" ca="1" si="186"/>
        <v>-90.279173607243564</v>
      </c>
      <c r="I441" s="304">
        <f t="shared" ca="1" si="187"/>
        <v>90.890935793907332</v>
      </c>
      <c r="J441" s="306">
        <f t="shared" ca="1" si="188"/>
        <v>652.27354505931214</v>
      </c>
      <c r="K441" s="307">
        <f t="shared" ca="1" si="189"/>
        <v>737.1981344883518</v>
      </c>
      <c r="L441" s="304">
        <f t="shared" ca="1" si="174"/>
        <v>984.33828894204282</v>
      </c>
      <c r="M441" s="306">
        <f t="shared" ca="1" si="190"/>
        <v>-1.4547076343765073</v>
      </c>
      <c r="N441" s="304">
        <f t="shared" ca="1" si="191"/>
        <v>-83.348607875233938</v>
      </c>
      <c r="P441" s="310">
        <f t="shared" ca="1" si="192"/>
        <v>23</v>
      </c>
      <c r="Q441" s="304">
        <f t="shared" ca="1" si="193"/>
        <v>0</v>
      </c>
      <c r="R441" s="306">
        <f t="shared" ca="1" si="194"/>
        <v>0</v>
      </c>
      <c r="S441" s="307">
        <f t="shared" ca="1" si="195"/>
        <v>2.6792999999999987</v>
      </c>
      <c r="T441" s="304">
        <f t="shared" ca="1" si="175"/>
        <v>26.283932999999987</v>
      </c>
      <c r="U441" s="311">
        <f t="shared" ca="1" si="176"/>
        <v>0</v>
      </c>
      <c r="V441" s="306">
        <f t="shared" ca="1" si="177"/>
        <v>1.1379035939289863</v>
      </c>
      <c r="W441" s="304">
        <f t="shared" ca="1" si="178"/>
        <v>19.249501546599099</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2.6055911943307928</v>
      </c>
      <c r="AH441" s="304">
        <f t="shared" ca="1" si="202"/>
        <v>-7.1369366752399221</v>
      </c>
    </row>
    <row r="442" spans="1:34" x14ac:dyDescent="0.2">
      <c r="A442" s="347">
        <f t="shared" ca="1" si="180"/>
        <v>0.1</v>
      </c>
      <c r="B442" s="304">
        <f t="shared" ca="1" si="181"/>
        <v>29.000000000000103</v>
      </c>
      <c r="D442" s="306">
        <f t="shared" ca="1" si="182"/>
        <v>-0.83217019553044869</v>
      </c>
      <c r="E442" s="307">
        <f t="shared" ca="1" si="183"/>
        <v>-2.6738307082888317</v>
      </c>
      <c r="F442" s="304">
        <f t="shared" ca="1" si="184"/>
        <v>2.8003353175856533</v>
      </c>
      <c r="G442" s="306">
        <f t="shared" ca="1" si="185"/>
        <v>10.444509339227389</v>
      </c>
      <c r="H442" s="307">
        <f t="shared" ca="1" si="186"/>
        <v>-90.546556678072449</v>
      </c>
      <c r="I442" s="304">
        <f t="shared" ca="1" si="187"/>
        <v>91.146951137120297</v>
      </c>
      <c r="J442" s="306">
        <f t="shared" ca="1" si="188"/>
        <v>653.32215684421249</v>
      </c>
      <c r="K442" s="307">
        <f t="shared" ca="1" si="189"/>
        <v>728.15684797408596</v>
      </c>
      <c r="L442" s="304">
        <f t="shared" ca="1" si="174"/>
        <v>978.28535503457783</v>
      </c>
      <c r="M442" s="306">
        <f t="shared" ca="1" si="190"/>
        <v>-1.4559542741735927</v>
      </c>
      <c r="N442" s="304">
        <f t="shared" ca="1" si="191"/>
        <v>-83.420035074179978</v>
      </c>
      <c r="P442" s="310">
        <f t="shared" ca="1" si="192"/>
        <v>23</v>
      </c>
      <c r="Q442" s="304">
        <f t="shared" ca="1" si="193"/>
        <v>0</v>
      </c>
      <c r="R442" s="306">
        <f t="shared" ca="1" si="194"/>
        <v>0</v>
      </c>
      <c r="S442" s="307">
        <f t="shared" ca="1" si="195"/>
        <v>2.6792999999999987</v>
      </c>
      <c r="T442" s="304">
        <f t="shared" ca="1" si="175"/>
        <v>26.283932999999987</v>
      </c>
      <c r="U442" s="311">
        <f t="shared" ca="1" si="176"/>
        <v>0</v>
      </c>
      <c r="V442" s="306">
        <f t="shared" ca="1" si="177"/>
        <v>1.1389342542310572</v>
      </c>
      <c r="W442" s="304">
        <f t="shared" ca="1" si="178"/>
        <v>19.375629283704086</v>
      </c>
      <c r="Y442" s="314" t="str">
        <f t="shared" ca="1" si="196"/>
        <v/>
      </c>
      <c r="Z442" s="315" t="str">
        <f t="shared" ca="1" si="197"/>
        <v/>
      </c>
      <c r="AA442" s="316" t="str">
        <f t="shared" ca="1" si="198"/>
        <v/>
      </c>
      <c r="AC442" s="310">
        <f t="shared" ca="1" si="199"/>
        <v>29.000000000000103</v>
      </c>
      <c r="AD442" s="323">
        <f t="shared" ca="1" si="200"/>
        <v>653.32215684421249</v>
      </c>
      <c r="AE442" s="324" t="e">
        <f t="shared" ca="1" si="179"/>
        <v>#N/A</v>
      </c>
      <c r="AG442" s="306">
        <f t="shared" ca="1" si="201"/>
        <v>2.5594451699231247</v>
      </c>
      <c r="AH442" s="304">
        <f t="shared" ca="1" si="202"/>
        <v>-7.1845263862199484</v>
      </c>
    </row>
    <row r="443" spans="1:34" x14ac:dyDescent="0.2">
      <c r="A443" s="347">
        <f t="shared" ca="1" si="180"/>
        <v>0.1</v>
      </c>
      <c r="B443" s="304">
        <f t="shared" ca="1" si="181"/>
        <v>29.100000000000104</v>
      </c>
      <c r="D443" s="306">
        <f t="shared" ca="1" si="182"/>
        <v>-0.82866761930772481</v>
      </c>
      <c r="E443" s="307">
        <f t="shared" ca="1" si="183"/>
        <v>-2.6260340402854547</v>
      </c>
      <c r="F443" s="304">
        <f t="shared" ca="1" si="184"/>
        <v>2.7536784133277221</v>
      </c>
      <c r="G443" s="306">
        <f t="shared" ca="1" si="185"/>
        <v>10.361642577296617</v>
      </c>
      <c r="H443" s="307">
        <f t="shared" ca="1" si="186"/>
        <v>-90.809160082100988</v>
      </c>
      <c r="I443" s="304">
        <f t="shared" ca="1" si="187"/>
        <v>91.398398190101176</v>
      </c>
      <c r="J443" s="306">
        <f t="shared" ca="1" si="188"/>
        <v>654.36246444003871</v>
      </c>
      <c r="K443" s="307">
        <f t="shared" ca="1" si="189"/>
        <v>719.08906213607725</v>
      </c>
      <c r="L443" s="304">
        <f t="shared" ca="1" si="174"/>
        <v>972.25475784476578</v>
      </c>
      <c r="M443" s="306">
        <f t="shared" ca="1" si="190"/>
        <v>-1.4571841929419036</v>
      </c>
      <c r="N443" s="304">
        <f t="shared" ca="1" si="191"/>
        <v>-83.490504228748122</v>
      </c>
      <c r="P443" s="310">
        <f t="shared" ca="1" si="192"/>
        <v>23</v>
      </c>
      <c r="Q443" s="304">
        <f t="shared" ca="1" si="193"/>
        <v>0</v>
      </c>
      <c r="R443" s="306">
        <f t="shared" ca="1" si="194"/>
        <v>0</v>
      </c>
      <c r="S443" s="307">
        <f t="shared" ca="1" si="195"/>
        <v>2.6792999999999987</v>
      </c>
      <c r="T443" s="304">
        <f t="shared" ca="1" si="175"/>
        <v>26.283932999999987</v>
      </c>
      <c r="U443" s="311">
        <f t="shared" ca="1" si="176"/>
        <v>0</v>
      </c>
      <c r="V443" s="306">
        <f t="shared" ca="1" si="177"/>
        <v>1.1399688387867879</v>
      </c>
      <c r="W443" s="304">
        <f t="shared" ca="1" si="178"/>
        <v>19.500377487391127</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2.5137792380305672</v>
      </c>
      <c r="AH443" s="304">
        <f t="shared" ca="1" si="202"/>
        <v>-7.2316012703706551</v>
      </c>
    </row>
    <row r="444" spans="1:34" x14ac:dyDescent="0.2">
      <c r="A444" s="347">
        <f t="shared" ca="1" si="180"/>
        <v>0.1</v>
      </c>
      <c r="B444" s="304">
        <f t="shared" ca="1" si="181"/>
        <v>29.200000000000106</v>
      </c>
      <c r="D444" s="306">
        <f t="shared" ca="1" si="182"/>
        <v>-0.82510970848712184</v>
      </c>
      <c r="E444" s="307">
        <f t="shared" ca="1" si="183"/>
        <v>-2.5787604504447605</v>
      </c>
      <c r="F444" s="304">
        <f t="shared" ca="1" si="184"/>
        <v>2.7075471356594636</v>
      </c>
      <c r="G444" s="306">
        <f t="shared" ca="1" si="185"/>
        <v>10.279131606447905</v>
      </c>
      <c r="H444" s="307">
        <f t="shared" ca="1" si="186"/>
        <v>-91.067036127145457</v>
      </c>
      <c r="I444" s="304">
        <f t="shared" ca="1" si="187"/>
        <v>91.645325115717128</v>
      </c>
      <c r="J444" s="306">
        <f t="shared" ca="1" si="188"/>
        <v>655.3945031492259</v>
      </c>
      <c r="K444" s="307">
        <f t="shared" ca="1" si="189"/>
        <v>709.99525232561496</v>
      </c>
      <c r="L444" s="304">
        <f t="shared" ca="1" si="174"/>
        <v>966.24800806166445</v>
      </c>
      <c r="M444" s="306">
        <f t="shared" ca="1" si="190"/>
        <v>-1.4583977182011811</v>
      </c>
      <c r="N444" s="304">
        <f t="shared" ca="1" si="191"/>
        <v>-83.560034104437236</v>
      </c>
      <c r="P444" s="310">
        <f t="shared" ca="1" si="192"/>
        <v>23</v>
      </c>
      <c r="Q444" s="304">
        <f t="shared" ca="1" si="193"/>
        <v>0</v>
      </c>
      <c r="R444" s="306">
        <f t="shared" ca="1" si="194"/>
        <v>0</v>
      </c>
      <c r="S444" s="307">
        <f t="shared" ca="1" si="195"/>
        <v>2.6792999999999987</v>
      </c>
      <c r="T444" s="304">
        <f t="shared" ca="1" si="175"/>
        <v>26.283932999999987</v>
      </c>
      <c r="U444" s="311">
        <f t="shared" ca="1" si="176"/>
        <v>0</v>
      </c>
      <c r="V444" s="306">
        <f t="shared" ca="1" si="177"/>
        <v>1.1410073024158507</v>
      </c>
      <c r="W444" s="304">
        <f t="shared" ca="1" si="178"/>
        <v>19.623746535494696</v>
      </c>
      <c r="Y444" s="314" t="str">
        <f t="shared" ca="1" si="196"/>
        <v/>
      </c>
      <c r="Z444" s="315" t="str">
        <f t="shared" ca="1" si="197"/>
        <v/>
      </c>
      <c r="AA444" s="316" t="str">
        <f t="shared" ca="1" si="198"/>
        <v/>
      </c>
      <c r="AC444" s="310" t="e">
        <f t="shared" ca="1" si="199"/>
        <v>#N/A</v>
      </c>
      <c r="AD444" s="323" t="e">
        <f t="shared" ca="1" si="200"/>
        <v>#N/A</v>
      </c>
      <c r="AE444" s="324" t="e">
        <f t="shared" ca="1" si="179"/>
        <v>#N/A</v>
      </c>
      <c r="AG444" s="306">
        <f t="shared" ca="1" si="201"/>
        <v>2.4685944517555489</v>
      </c>
      <c r="AH444" s="304">
        <f t="shared" ca="1" si="202"/>
        <v>-7.278161268760921</v>
      </c>
    </row>
    <row r="445" spans="1:34" x14ac:dyDescent="0.2">
      <c r="A445" s="347">
        <f t="shared" ca="1" si="180"/>
        <v>0.1</v>
      </c>
      <c r="B445" s="304">
        <f t="shared" ca="1" si="181"/>
        <v>29.300000000000107</v>
      </c>
      <c r="D445" s="306">
        <f t="shared" ca="1" si="182"/>
        <v>-0.8214983433317653</v>
      </c>
      <c r="E445" s="307">
        <f t="shared" ca="1" si="183"/>
        <v>-2.5320097791474705</v>
      </c>
      <c r="F445" s="304">
        <f t="shared" ca="1" si="184"/>
        <v>2.6619415939864752</v>
      </c>
      <c r="G445" s="306">
        <f t="shared" ca="1" si="185"/>
        <v>10.196981772114729</v>
      </c>
      <c r="H445" s="307">
        <f t="shared" ca="1" si="186"/>
        <v>-91.320237105060201</v>
      </c>
      <c r="I445" s="304">
        <f t="shared" ca="1" si="187"/>
        <v>91.887780157022263</v>
      </c>
      <c r="J445" s="306">
        <f t="shared" ca="1" si="188"/>
        <v>656.41830881815406</v>
      </c>
      <c r="K445" s="307">
        <f t="shared" ca="1" si="189"/>
        <v>700.87588866400472</v>
      </c>
      <c r="L445" s="304">
        <f t="shared" ca="1" si="174"/>
        <v>960.26663352542027</v>
      </c>
      <c r="M445" s="306">
        <f t="shared" ca="1" si="190"/>
        <v>-1.4595951684030293</v>
      </c>
      <c r="N445" s="304">
        <f t="shared" ca="1" si="191"/>
        <v>-83.628642947180225</v>
      </c>
      <c r="P445" s="310">
        <f t="shared" ca="1" si="192"/>
        <v>23</v>
      </c>
      <c r="Q445" s="304">
        <f t="shared" ca="1" si="193"/>
        <v>0</v>
      </c>
      <c r="R445" s="306">
        <f t="shared" ca="1" si="194"/>
        <v>0</v>
      </c>
      <c r="S445" s="307">
        <f t="shared" ca="1" si="195"/>
        <v>2.6792999999999987</v>
      </c>
      <c r="T445" s="304">
        <f t="shared" ca="1" si="175"/>
        <v>26.283932999999987</v>
      </c>
      <c r="U445" s="311">
        <f t="shared" ca="1" si="176"/>
        <v>0</v>
      </c>
      <c r="V445" s="306">
        <f t="shared" ca="1" si="177"/>
        <v>1.1420496003907188</v>
      </c>
      <c r="W445" s="304">
        <f t="shared" ca="1" si="178"/>
        <v>19.745737325493156</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2.4238916296694493</v>
      </c>
      <c r="AH445" s="304">
        <f t="shared" ca="1" si="202"/>
        <v>-7.3242065224105941</v>
      </c>
    </row>
    <row r="446" spans="1:34" x14ac:dyDescent="0.2">
      <c r="A446" s="347">
        <f t="shared" ca="1" si="180"/>
        <v>0.1</v>
      </c>
      <c r="B446" s="304">
        <f t="shared" ca="1" si="181"/>
        <v>29.400000000000109</v>
      </c>
      <c r="D446" s="306">
        <f t="shared" ca="1" si="182"/>
        <v>-0.81783537986100507</v>
      </c>
      <c r="E446" s="307">
        <f t="shared" ca="1" si="183"/>
        <v>-2.4857816704103719</v>
      </c>
      <c r="F446" s="304">
        <f t="shared" ca="1" si="184"/>
        <v>2.6168617123380007</v>
      </c>
      <c r="G446" s="306">
        <f t="shared" ca="1" si="185"/>
        <v>10.115198234128629</v>
      </c>
      <c r="H446" s="307">
        <f t="shared" ca="1" si="186"/>
        <v>-91.568815272101233</v>
      </c>
      <c r="I446" s="304">
        <f t="shared" ca="1" si="187"/>
        <v>92.125811614617106</v>
      </c>
      <c r="J446" s="306">
        <f t="shared" ca="1" si="188"/>
        <v>657.43391781846628</v>
      </c>
      <c r="K446" s="307">
        <f t="shared" ca="1" si="189"/>
        <v>691.73143604514667</v>
      </c>
      <c r="L446" s="304">
        <f t="shared" ca="1" si="174"/>
        <v>954.31217948385142</v>
      </c>
      <c r="M446" s="306">
        <f t="shared" ca="1" si="190"/>
        <v>-1.4607768532447893</v>
      </c>
      <c r="N446" s="304">
        <f t="shared" ca="1" si="191"/>
        <v>-83.696348501327662</v>
      </c>
      <c r="P446" s="310">
        <f t="shared" ca="1" si="192"/>
        <v>23</v>
      </c>
      <c r="Q446" s="304">
        <f t="shared" ca="1" si="193"/>
        <v>0</v>
      </c>
      <c r="R446" s="306">
        <f t="shared" ca="1" si="194"/>
        <v>0</v>
      </c>
      <c r="S446" s="307">
        <f t="shared" ca="1" si="195"/>
        <v>2.6792999999999987</v>
      </c>
      <c r="T446" s="304">
        <f t="shared" ca="1" si="175"/>
        <v>26.283932999999987</v>
      </c>
      <c r="U446" s="311">
        <f t="shared" ca="1" si="176"/>
        <v>0</v>
      </c>
      <c r="V446" s="306">
        <f t="shared" ca="1" si="177"/>
        <v>1.1430956884372494</v>
      </c>
      <c r="W446" s="304">
        <f t="shared" ca="1" si="178"/>
        <v>19.866351258567462</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2.3796713632497495</v>
      </c>
      <c r="AH446" s="304">
        <f t="shared" ca="1" si="202"/>
        <v>-7.3697373662871515</v>
      </c>
    </row>
    <row r="447" spans="1:34" x14ac:dyDescent="0.2">
      <c r="A447" s="347">
        <f t="shared" ca="1" si="180"/>
        <v>0.1</v>
      </c>
      <c r="B447" s="304">
        <f t="shared" ca="1" si="181"/>
        <v>29.50000000000011</v>
      </c>
      <c r="D447" s="306">
        <f t="shared" ca="1" si="182"/>
        <v>-0.8141226494899837</v>
      </c>
      <c r="E447" s="307">
        <f t="shared" ca="1" si="183"/>
        <v>-2.4400755779104175</v>
      </c>
      <c r="F447" s="304">
        <f t="shared" ca="1" si="184"/>
        <v>2.5723072356014258</v>
      </c>
      <c r="G447" s="306">
        <f t="shared" ca="1" si="185"/>
        <v>10.033785969179631</v>
      </c>
      <c r="H447" s="307">
        <f t="shared" ca="1" si="186"/>
        <v>-91.812822829892269</v>
      </c>
      <c r="I447" s="304">
        <f t="shared" ca="1" si="187"/>
        <v>92.359467824736271</v>
      </c>
      <c r="J447" s="306">
        <f t="shared" ca="1" si="188"/>
        <v>658.4413670286317</v>
      </c>
      <c r="K447" s="307">
        <f t="shared" ca="1" si="189"/>
        <v>682.56235414004698</v>
      </c>
      <c r="L447" s="304">
        <f t="shared" ca="1" si="174"/>
        <v>948.38620883252838</v>
      </c>
      <c r="M447" s="306">
        <f t="shared" ca="1" si="190"/>
        <v>-1.4619430739706794</v>
      </c>
      <c r="N447" s="304">
        <f t="shared" ca="1" si="191"/>
        <v>-83.763168026901852</v>
      </c>
      <c r="P447" s="310">
        <f t="shared" ca="1" si="192"/>
        <v>23</v>
      </c>
      <c r="Q447" s="304">
        <f t="shared" ca="1" si="193"/>
        <v>0</v>
      </c>
      <c r="R447" s="306">
        <f t="shared" ca="1" si="194"/>
        <v>0</v>
      </c>
      <c r="S447" s="307">
        <f t="shared" ca="1" si="195"/>
        <v>2.6792999999999987</v>
      </c>
      <c r="T447" s="304">
        <f t="shared" ca="1" si="175"/>
        <v>26.283932999999987</v>
      </c>
      <c r="U447" s="311">
        <f t="shared" ca="1" si="176"/>
        <v>0</v>
      </c>
      <c r="V447" s="306">
        <f t="shared" ca="1" si="177"/>
        <v>1.1441455227350799</v>
      </c>
      <c r="W447" s="304">
        <f t="shared" ca="1" si="178"/>
        <v>19.985590223813659</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2.3359340241949615</v>
      </c>
      <c r="AH447" s="304">
        <f t="shared" ca="1" si="202"/>
        <v>-7.4147543233559032</v>
      </c>
    </row>
    <row r="448" spans="1:34" x14ac:dyDescent="0.2">
      <c r="A448" s="347">
        <f t="shared" ca="1" si="180"/>
        <v>0.1</v>
      </c>
      <c r="B448" s="304">
        <f t="shared" ca="1" si="181"/>
        <v>29.600000000000112</v>
      </c>
      <c r="D448" s="306">
        <f t="shared" ca="1" si="182"/>
        <v>-0.81036195870171235</v>
      </c>
      <c r="E448" s="307">
        <f t="shared" ca="1" si="183"/>
        <v>-2.3948907709511404</v>
      </c>
      <c r="F448" s="304">
        <f t="shared" ca="1" si="184"/>
        <v>2.5282777357121633</v>
      </c>
      <c r="G448" s="306">
        <f t="shared" ca="1" si="185"/>
        <v>9.9527497733094599</v>
      </c>
      <c r="H448" s="307">
        <f t="shared" ca="1" si="186"/>
        <v>-92.052311906987384</v>
      </c>
      <c r="I448" s="304">
        <f t="shared" ca="1" si="187"/>
        <v>92.5887971380523</v>
      </c>
      <c r="J448" s="306">
        <f t="shared" ca="1" si="188"/>
        <v>659.44069381575616</v>
      </c>
      <c r="K448" s="307">
        <f t="shared" ca="1" si="189"/>
        <v>673.369097403203</v>
      </c>
      <c r="L448" s="304">
        <f t="shared" ca="1" si="174"/>
        <v>942.49030233621511</v>
      </c>
      <c r="M448" s="306">
        <f t="shared" ca="1" si="190"/>
        <v>-1.4630941236607853</v>
      </c>
      <c r="N448" s="304">
        <f t="shared" ca="1" si="191"/>
        <v>-83.829118316154762</v>
      </c>
      <c r="P448" s="310">
        <f t="shared" ca="1" si="192"/>
        <v>23</v>
      </c>
      <c r="Q448" s="304">
        <f t="shared" ca="1" si="193"/>
        <v>0</v>
      </c>
      <c r="R448" s="306">
        <f t="shared" ca="1" si="194"/>
        <v>0</v>
      </c>
      <c r="S448" s="307">
        <f t="shared" ca="1" si="195"/>
        <v>2.6792999999999987</v>
      </c>
      <c r="T448" s="304">
        <f t="shared" ca="1" si="175"/>
        <v>26.283932999999987</v>
      </c>
      <c r="U448" s="311">
        <f t="shared" ca="1" si="176"/>
        <v>0</v>
      </c>
      <c r="V448" s="306">
        <f t="shared" ca="1" si="177"/>
        <v>1.1451990599178596</v>
      </c>
      <c r="W448" s="304">
        <f t="shared" ca="1" si="178"/>
        <v>20.103456582619827</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2.2926797716172054</v>
      </c>
      <c r="AH448" s="304">
        <f t="shared" ca="1" si="202"/>
        <v>-7.4592580986875934</v>
      </c>
    </row>
    <row r="449" spans="1:34" x14ac:dyDescent="0.2">
      <c r="A449" s="347">
        <f t="shared" ca="1" si="180"/>
        <v>0.1</v>
      </c>
      <c r="B449" s="304">
        <f t="shared" ca="1" si="181"/>
        <v>29.700000000000113</v>
      </c>
      <c r="D449" s="306">
        <f t="shared" ca="1" si="182"/>
        <v>-0.80655508875071991</v>
      </c>
      <c r="E449" s="307">
        <f t="shared" ca="1" si="183"/>
        <v>-2.350226340367306</v>
      </c>
      <c r="F449" s="304">
        <f t="shared" ca="1" si="184"/>
        <v>2.4847726177954357</v>
      </c>
      <c r="G449" s="306">
        <f t="shared" ca="1" si="185"/>
        <v>9.8720942644343879</v>
      </c>
      <c r="H449" s="307">
        <f t="shared" ca="1" si="186"/>
        <v>-92.287334541024109</v>
      </c>
      <c r="I449" s="304">
        <f t="shared" ca="1" si="187"/>
        <v>92.813847899183557</v>
      </c>
      <c r="J449" s="306">
        <f t="shared" ca="1" si="188"/>
        <v>660.43193601764335</v>
      </c>
      <c r="K449" s="307">
        <f t="shared" ca="1" si="189"/>
        <v>664.15211508080245</v>
      </c>
      <c r="L449" s="304">
        <f t="shared" ca="1" si="174"/>
        <v>936.62605882941136</v>
      </c>
      <c r="M449" s="306">
        <f t="shared" ca="1" si="190"/>
        <v>-1.4642302875084676</v>
      </c>
      <c r="N449" s="304">
        <f t="shared" ca="1" si="191"/>
        <v>-83.894215709462301</v>
      </c>
      <c r="P449" s="310">
        <f t="shared" ca="1" si="192"/>
        <v>23</v>
      </c>
      <c r="Q449" s="304">
        <f t="shared" ca="1" si="193"/>
        <v>0</v>
      </c>
      <c r="R449" s="306">
        <f t="shared" ca="1" si="194"/>
        <v>0</v>
      </c>
      <c r="S449" s="307">
        <f t="shared" ca="1" si="195"/>
        <v>2.6792999999999987</v>
      </c>
      <c r="T449" s="304">
        <f t="shared" ca="1" si="175"/>
        <v>26.283932999999987</v>
      </c>
      <c r="U449" s="311">
        <f t="shared" ca="1" si="176"/>
        <v>0</v>
      </c>
      <c r="V449" s="306">
        <f t="shared" ca="1" si="177"/>
        <v>1.1462562570733086</v>
      </c>
      <c r="W449" s="304">
        <f t="shared" ca="1" si="178"/>
        <v>20.219953153216405</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2.249908559111943</v>
      </c>
      <c r="AH449" s="304">
        <f t="shared" ca="1" si="202"/>
        <v>-7.5032495736273797</v>
      </c>
    </row>
    <row r="450" spans="1:34" x14ac:dyDescent="0.2">
      <c r="A450" s="347">
        <f t="shared" ca="1" si="180"/>
        <v>0.1</v>
      </c>
      <c r="B450" s="304">
        <f t="shared" ca="1" si="181"/>
        <v>29.800000000000114</v>
      </c>
      <c r="D450" s="306">
        <f t="shared" ca="1" si="182"/>
        <v>-0.80270379539724834</v>
      </c>
      <c r="E450" s="307">
        <f t="shared" ca="1" si="183"/>
        <v>-2.3060812043643919</v>
      </c>
      <c r="F450" s="304">
        <f t="shared" ca="1" si="184"/>
        <v>2.4417911262570908</v>
      </c>
      <c r="G450" s="306">
        <f t="shared" ca="1" si="185"/>
        <v>9.7918238848946633</v>
      </c>
      <c r="H450" s="307">
        <f t="shared" ca="1" si="186"/>
        <v>-92.517942661460552</v>
      </c>
      <c r="I450" s="304">
        <f t="shared" ca="1" si="187"/>
        <v>93.03466842689393</v>
      </c>
      <c r="J450" s="306">
        <f t="shared" ca="1" si="188"/>
        <v>661.41513192510979</v>
      </c>
      <c r="K450" s="307">
        <f t="shared" ca="1" si="189"/>
        <v>654.91185122067816</v>
      </c>
      <c r="L450" s="304">
        <f t="shared" ca="1" si="174"/>
        <v>930.79509539361356</v>
      </c>
      <c r="M450" s="306">
        <f t="shared" ca="1" si="190"/>
        <v>-1.4653518430867141</v>
      </c>
      <c r="N450" s="304">
        <f t="shared" ca="1" si="191"/>
        <v>-83.958476110585181</v>
      </c>
      <c r="P450" s="310">
        <f t="shared" ca="1" si="192"/>
        <v>23</v>
      </c>
      <c r="Q450" s="304">
        <f t="shared" ca="1" si="193"/>
        <v>0</v>
      </c>
      <c r="R450" s="306">
        <f t="shared" ca="1" si="194"/>
        <v>0</v>
      </c>
      <c r="S450" s="307">
        <f t="shared" ca="1" si="195"/>
        <v>2.6792999999999987</v>
      </c>
      <c r="T450" s="304">
        <f t="shared" ca="1" si="175"/>
        <v>26.283932999999987</v>
      </c>
      <c r="U450" s="311">
        <f t="shared" ca="1" si="176"/>
        <v>0</v>
      </c>
      <c r="V450" s="306">
        <f t="shared" ca="1" si="177"/>
        <v>1.1473170717431151</v>
      </c>
      <c r="W450" s="304">
        <f t="shared" ca="1" si="178"/>
        <v>20.335083195409094</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2.2076201417047994</v>
      </c>
      <c r="AH450" s="304">
        <f t="shared" ca="1" si="202"/>
        <v>-7.5467298000285208</v>
      </c>
    </row>
    <row r="451" spans="1:34" x14ac:dyDescent="0.2">
      <c r="A451" s="347">
        <f t="shared" ca="1" si="180"/>
        <v>0.1</v>
      </c>
      <c r="B451" s="304">
        <f t="shared" ca="1" si="181"/>
        <v>29.900000000000116</v>
      </c>
      <c r="D451" s="306">
        <f t="shared" ca="1" si="182"/>
        <v>-0.79880980867104112</v>
      </c>
      <c r="E451" s="307">
        <f t="shared" ca="1" si="183"/>
        <v>-2.2624541142893904</v>
      </c>
      <c r="F451" s="304">
        <f t="shared" ca="1" si="184"/>
        <v>2.3993323508205475</v>
      </c>
      <c r="G451" s="306">
        <f t="shared" ca="1" si="185"/>
        <v>9.7119429040275591</v>
      </c>
      <c r="H451" s="307">
        <f t="shared" ca="1" si="186"/>
        <v>-92.744188072889486</v>
      </c>
      <c r="I451" s="304">
        <f t="shared" ca="1" si="187"/>
        <v>93.251306994972396</v>
      </c>
      <c r="J451" s="306">
        <f t="shared" ca="1" si="188"/>
        <v>662.39032026455595</v>
      </c>
      <c r="K451" s="307">
        <f t="shared" ca="1" si="189"/>
        <v>645.64874468396067</v>
      </c>
      <c r="L451" s="304">
        <f t="shared" ca="1" si="174"/>
        <v>924.99904750878272</v>
      </c>
      <c r="M451" s="306">
        <f t="shared" ca="1" si="190"/>
        <v>-1.4664590606039447</v>
      </c>
      <c r="N451" s="304">
        <f t="shared" ca="1" si="191"/>
        <v>-84.021915001325439</v>
      </c>
      <c r="P451" s="310">
        <f t="shared" ca="1" si="192"/>
        <v>23</v>
      </c>
      <c r="Q451" s="304">
        <f t="shared" ca="1" si="193"/>
        <v>0</v>
      </c>
      <c r="R451" s="306">
        <f t="shared" ca="1" si="194"/>
        <v>0</v>
      </c>
      <c r="S451" s="307">
        <f t="shared" ca="1" si="195"/>
        <v>2.6792999999999987</v>
      </c>
      <c r="T451" s="304">
        <f t="shared" ca="1" si="175"/>
        <v>26.283932999999987</v>
      </c>
      <c r="U451" s="311">
        <f t="shared" ca="1" si="176"/>
        <v>0</v>
      </c>
      <c r="V451" s="306">
        <f t="shared" ca="1" si="177"/>
        <v>1.1483814619226722</v>
      </c>
      <c r="W451" s="304">
        <f t="shared" ca="1" si="178"/>
        <v>20.448850395502372</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2.1658140826751291</v>
      </c>
      <c r="AH451" s="304">
        <f t="shared" ca="1" si="202"/>
        <v>-7.5896999945542136</v>
      </c>
    </row>
    <row r="452" spans="1:34" x14ac:dyDescent="0.2">
      <c r="A452" s="347">
        <f t="shared" ca="1" si="180"/>
        <v>0.1</v>
      </c>
      <c r="B452" s="304">
        <f t="shared" ca="1" si="181"/>
        <v>30.000000000000117</v>
      </c>
      <c r="D452" s="306">
        <f t="shared" ca="1" si="182"/>
        <v>-0.79487483266372727</v>
      </c>
      <c r="E452" s="307">
        <f t="shared" ca="1" si="183"/>
        <v>-2.2193436603298542</v>
      </c>
      <c r="F452" s="304">
        <f t="shared" ca="1" si="184"/>
        <v>2.3573952325073759</v>
      </c>
      <c r="G452" s="306">
        <f t="shared" ca="1" si="185"/>
        <v>9.6324554207611861</v>
      </c>
      <c r="H452" s="307">
        <f t="shared" ca="1" si="186"/>
        <v>-92.966122438922469</v>
      </c>
      <c r="I452" s="304">
        <f t="shared" ca="1" si="187"/>
        <v>93.463811813779955</v>
      </c>
      <c r="J452" s="306">
        <f t="shared" ca="1" si="188"/>
        <v>663.35754018079535</v>
      </c>
      <c r="K452" s="307">
        <f t="shared" ca="1" si="189"/>
        <v>636.36322915837013</v>
      </c>
      <c r="L452" s="304">
        <f t="shared" ref="L452:L515" ca="1" si="203">SQRT(pos_x^2+pos_z^2)</f>
        <v>919.23956917638384</v>
      </c>
      <c r="M452" s="306">
        <f t="shared" ca="1" si="190"/>
        <v>-1.4675522031497437</v>
      </c>
      <c r="N452" s="304">
        <f t="shared" ca="1" si="191"/>
        <v>-84.084547455605914</v>
      </c>
      <c r="P452" s="310">
        <f t="shared" ca="1" si="192"/>
        <v>23</v>
      </c>
      <c r="Q452" s="304">
        <f t="shared" ca="1" si="193"/>
        <v>0</v>
      </c>
      <c r="R452" s="306">
        <f t="shared" ca="1" si="194"/>
        <v>0</v>
      </c>
      <c r="S452" s="307">
        <f t="shared" ca="1" si="195"/>
        <v>2.6792999999999987</v>
      </c>
      <c r="T452" s="304">
        <f t="shared" ref="T452:T515" ca="1" si="204">m*g</f>
        <v>26.283932999999987</v>
      </c>
      <c r="U452" s="311">
        <f t="shared" ref="U452:U515" ca="1" si="205">IF(pos_xz&lt;L_rampe,Poids*COS(Beta),0)</f>
        <v>0</v>
      </c>
      <c r="V452" s="306">
        <f t="shared" ref="V452:V515" ca="1" si="206">Rho_moyen*(20000-Alt_rampe-pos_z)/(20000+Alt_rampe+pos_z)</f>
        <v>1.1494493860606663</v>
      </c>
      <c r="W452" s="304">
        <f t="shared" ref="W452:W515" ca="1" si="207">1/2*Rho*Sref*Cx*vit_xz^2</f>
        <v>20.561258851421346</v>
      </c>
      <c r="Y452" s="314" t="str">
        <f t="shared" ca="1" si="196"/>
        <v/>
      </c>
      <c r="Z452" s="315" t="str">
        <f t="shared" ca="1" si="197"/>
        <v/>
      </c>
      <c r="AA452" s="316" t="str">
        <f t="shared" ca="1" si="198"/>
        <v/>
      </c>
      <c r="AC452" s="310">
        <f t="shared" ca="1" si="199"/>
        <v>30.000000000000117</v>
      </c>
      <c r="AD452" s="323">
        <f t="shared" ca="1" si="200"/>
        <v>663.35754018079535</v>
      </c>
      <c r="AE452" s="324" t="e">
        <f t="shared" ref="AE452:AE515" ca="1" si="208">IF(t&lt;T_para, pos_z, NA())</f>
        <v>#N/A</v>
      </c>
      <c r="AG452" s="306">
        <f t="shared" ca="1" si="201"/>
        <v>2.124489760256222</v>
      </c>
      <c r="AH452" s="304">
        <f t="shared" ca="1" si="202"/>
        <v>-7.6321615330505663</v>
      </c>
    </row>
    <row r="453" spans="1:34" x14ac:dyDescent="0.2">
      <c r="A453" s="347">
        <f t="shared" ref="A453:A516" ca="1" si="209">IF(B452+0.01&lt;=T_ini+ROUNDUP(Temps_fin_propu,0), 0.01, IF(K452&gt;0, 0.1, 0.0001))</f>
        <v>0.1</v>
      </c>
      <c r="B453" s="304">
        <f t="shared" ref="B453:B516" ca="1" si="210">B452+pas</f>
        <v>30.100000000000119</v>
      </c>
      <c r="D453" s="306">
        <f t="shared" ref="D453:D516" ca="1" si="211">IF(AND(L452&lt;L_rampe,Poussee&lt;Poids*SIN(M452)),0,(-W452+Poussee)/m*COS(M452)-U452/m*SIN(M452))</f>
        <v>-0.79090054534887699</v>
      </c>
      <c r="E453" s="307">
        <f t="shared" ref="E453:E516" ca="1" si="212">IF(AND(L452&lt;L_rampe,Poussee&lt;Poids*SIN(M452)),0,(-W452+Poussee)/m*SIN(M452)+U452/m*COS(M452)-Poids/m)</f>
        <v>-2.17674827713825</v>
      </c>
      <c r="F453" s="304">
        <f t="shared" ref="F453:F516" ca="1" si="213">SQRT(acc_x^2+acc_z^2)</f>
        <v>2.3159785695592028</v>
      </c>
      <c r="G453" s="306">
        <f t="shared" ref="G453:G516" ca="1" si="214">G452+acc_x*pas</f>
        <v>9.5533653662262985</v>
      </c>
      <c r="H453" s="307">
        <f t="shared" ref="H453:H516" ca="1" si="215">H452+acc_z*pas</f>
        <v>-93.18379726663629</v>
      </c>
      <c r="I453" s="304">
        <f t="shared" ref="I453:I516" ca="1" si="216">SQRT(vit_x^2+vit_z^2)</f>
        <v>93.672231012452059</v>
      </c>
      <c r="J453" s="306">
        <f t="shared" ref="J453:J516" ca="1" si="217">J452+0.5*(vit_x+G452)*pas*(K452&gt;=0)</f>
        <v>664.31683122014476</v>
      </c>
      <c r="K453" s="307">
        <f t="shared" ref="K453:K516" ca="1" si="218">K452+0.5*(vit_z+H452)*pas</f>
        <v>627.05573317309222</v>
      </c>
      <c r="L453" s="304">
        <f t="shared" ca="1" si="203"/>
        <v>913.51833301123111</v>
      </c>
      <c r="M453" s="306">
        <f t="shared" ref="M453:M516" ca="1" si="219">IF(AND(L452&gt;L_rampe,G453&gt;0),ATAN2(G453,H453),$M$4)</f>
        <v>-1.4686315269309764</v>
      </c>
      <c r="N453" s="304">
        <f t="shared" ref="N453:N516" ca="1" si="220">DEGREES(Beta)</f>
        <v>-84.146388152998654</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2.6792999999999987</v>
      </c>
      <c r="T453" s="304">
        <f t="shared" ca="1" si="204"/>
        <v>26.283932999999987</v>
      </c>
      <c r="U453" s="311">
        <f t="shared" ca="1" si="205"/>
        <v>0</v>
      </c>
      <c r="V453" s="306">
        <f t="shared" ca="1" si="206"/>
        <v>1.1505208030585108</v>
      </c>
      <c r="W453" s="304">
        <f t="shared" ca="1" si="207"/>
        <v>20.672313058038885</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2.0836463742120417</v>
      </c>
      <c r="AH453" s="304">
        <f t="shared" ref="AH453:AH516" ca="1" si="231">IF(AND(L452&lt;L_rampe,Poussee&lt;Poids*SIN(M452)), g*SIN(M452), (-W452+Poussee)/m)</f>
        <v>-7.6741159449936012</v>
      </c>
    </row>
    <row r="454" spans="1:34" x14ac:dyDescent="0.2">
      <c r="A454" s="347">
        <f t="shared" ca="1" si="209"/>
        <v>0.1</v>
      </c>
      <c r="B454" s="304">
        <f t="shared" ca="1" si="210"/>
        <v>30.20000000000012</v>
      </c>
      <c r="D454" s="306">
        <f t="shared" ca="1" si="211"/>
        <v>-0.78688859842873549</v>
      </c>
      <c r="E454" s="307">
        <f t="shared" ca="1" si="212"/>
        <v>-2.1346662493789514</v>
      </c>
      <c r="F454" s="304">
        <f t="shared" ca="1" si="213"/>
        <v>2.2750810232988932</v>
      </c>
      <c r="G454" s="306">
        <f t="shared" ca="1" si="214"/>
        <v>9.4746765063834246</v>
      </c>
      <c r="H454" s="307">
        <f t="shared" ca="1" si="215"/>
        <v>-93.397263891574184</v>
      </c>
      <c r="I454" s="304">
        <f t="shared" ca="1" si="216"/>
        <v>93.876612621743874</v>
      </c>
      <c r="J454" s="306">
        <f t="shared" ca="1" si="217"/>
        <v>665.26823331377523</v>
      </c>
      <c r="K454" s="307">
        <f t="shared" ca="1" si="218"/>
        <v>617.72668011518169</v>
      </c>
      <c r="L454" s="304">
        <f t="shared" ca="1" si="203"/>
        <v>907.83703029924686</v>
      </c>
      <c r="M454" s="306">
        <f t="shared" ca="1" si="219"/>
        <v>-1.4696972814987206</v>
      </c>
      <c r="N454" s="304">
        <f t="shared" ca="1" si="220"/>
        <v>-84.207451391727176</v>
      </c>
      <c r="P454" s="310">
        <f t="shared" ca="1" si="221"/>
        <v>23</v>
      </c>
      <c r="Q454" s="304">
        <f t="shared" ca="1" si="222"/>
        <v>0</v>
      </c>
      <c r="R454" s="306">
        <f t="shared" ca="1" si="223"/>
        <v>0</v>
      </c>
      <c r="S454" s="307">
        <f t="shared" ca="1" si="224"/>
        <v>2.6792999999999987</v>
      </c>
      <c r="T454" s="304">
        <f t="shared" ca="1" si="204"/>
        <v>26.283932999999987</v>
      </c>
      <c r="U454" s="311">
        <f t="shared" ca="1" si="205"/>
        <v>0</v>
      </c>
      <c r="V454" s="306">
        <f t="shared" ca="1" si="206"/>
        <v>1.1515956722696385</v>
      </c>
      <c r="W454" s="304">
        <f t="shared" ca="1" si="207"/>
        <v>20.782017892714478</v>
      </c>
      <c r="Y454" s="314" t="str">
        <f t="shared" ca="1" si="225"/>
        <v/>
      </c>
      <c r="Z454" s="315" t="str">
        <f t="shared" ca="1" si="226"/>
        <v/>
      </c>
      <c r="AA454" s="316" t="str">
        <f t="shared" ca="1" si="227"/>
        <v/>
      </c>
      <c r="AC454" s="310" t="e">
        <f t="shared" ca="1" si="228"/>
        <v>#N/A</v>
      </c>
      <c r="AD454" s="323" t="e">
        <f t="shared" ca="1" si="229"/>
        <v>#N/A</v>
      </c>
      <c r="AE454" s="324" t="e">
        <f t="shared" ca="1" si="208"/>
        <v>#N/A</v>
      </c>
      <c r="AG454" s="306">
        <f t="shared" ca="1" si="230"/>
        <v>2.0432829522904026</v>
      </c>
      <c r="AH454" s="304">
        <f t="shared" ca="1" si="231"/>
        <v>-7.7155649080128743</v>
      </c>
    </row>
    <row r="455" spans="1:34" x14ac:dyDescent="0.2">
      <c r="A455" s="347">
        <f t="shared" ca="1" si="209"/>
        <v>0.1</v>
      </c>
      <c r="B455" s="304">
        <f t="shared" ca="1" si="210"/>
        <v>30.300000000000122</v>
      </c>
      <c r="D455" s="306">
        <f t="shared" ca="1" si="211"/>
        <v>-0.78284061720671272</v>
      </c>
      <c r="E455" s="307">
        <f t="shared" ca="1" si="212"/>
        <v>-2.0930957171954283</v>
      </c>
      <c r="F455" s="304">
        <f t="shared" ca="1" si="213"/>
        <v>2.2347011239292005</v>
      </c>
      <c r="G455" s="306">
        <f t="shared" ca="1" si="214"/>
        <v>9.3963924446627534</v>
      </c>
      <c r="H455" s="307">
        <f t="shared" ca="1" si="215"/>
        <v>-93.606573463293728</v>
      </c>
      <c r="I455" s="304">
        <f t="shared" ca="1" si="216"/>
        <v>94.077004557506612</v>
      </c>
      <c r="J455" s="306">
        <f t="shared" ca="1" si="217"/>
        <v>666.21178676132752</v>
      </c>
      <c r="K455" s="307">
        <f t="shared" ca="1" si="218"/>
        <v>608.37648824743826</v>
      </c>
      <c r="L455" s="304">
        <f t="shared" ca="1" si="203"/>
        <v>902.19737101811927</v>
      </c>
      <c r="M455" s="306">
        <f t="shared" ca="1" si="219"/>
        <v>-1.4707497099664197</v>
      </c>
      <c r="N455" s="304">
        <f t="shared" ca="1" si="220"/>
        <v>-84.267751101165757</v>
      </c>
      <c r="P455" s="310">
        <f t="shared" ca="1" si="221"/>
        <v>23</v>
      </c>
      <c r="Q455" s="304">
        <f t="shared" ca="1" si="222"/>
        <v>0</v>
      </c>
      <c r="R455" s="306">
        <f t="shared" ca="1" si="223"/>
        <v>0</v>
      </c>
      <c r="S455" s="307">
        <f t="shared" ca="1" si="224"/>
        <v>2.6792999999999987</v>
      </c>
      <c r="T455" s="304">
        <f t="shared" ca="1" si="204"/>
        <v>26.283932999999987</v>
      </c>
      <c r="U455" s="311">
        <f t="shared" ca="1" si="205"/>
        <v>0</v>
      </c>
      <c r="V455" s="306">
        <f t="shared" ca="1" si="206"/>
        <v>1.1526739534986543</v>
      </c>
      <c r="W455" s="304">
        <f t="shared" ca="1" si="207"/>
        <v>20.890378601050834</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2.0033983565526752</v>
      </c>
      <c r="AH455" s="304">
        <f t="shared" ca="1" si="231"/>
        <v>-7.7565102424941168</v>
      </c>
    </row>
    <row r="456" spans="1:34" x14ac:dyDescent="0.2">
      <c r="A456" s="347">
        <f t="shared" ca="1" si="209"/>
        <v>0.1</v>
      </c>
      <c r="B456" s="304">
        <f t="shared" ca="1" si="210"/>
        <v>30.400000000000123</v>
      </c>
      <c r="D456" s="306">
        <f t="shared" ca="1" si="211"/>
        <v>-0.77875820048470046</v>
      </c>
      <c r="E456" s="307">
        <f t="shared" ca="1" si="212"/>
        <v>-2.0520346815953134</v>
      </c>
      <c r="F456" s="304">
        <f t="shared" ca="1" si="213"/>
        <v>2.1948372762672292</v>
      </c>
      <c r="G456" s="306">
        <f t="shared" ca="1" si="214"/>
        <v>9.3185166246142828</v>
      </c>
      <c r="H456" s="307">
        <f t="shared" ca="1" si="215"/>
        <v>-93.811776931453252</v>
      </c>
      <c r="I456" s="304">
        <f t="shared" ca="1" si="216"/>
        <v>94.27345460478233</v>
      </c>
      <c r="J456" s="306">
        <f t="shared" ca="1" si="217"/>
        <v>667.14753221479134</v>
      </c>
      <c r="K456" s="307">
        <f t="shared" ca="1" si="218"/>
        <v>599.00557072770096</v>
      </c>
      <c r="L456" s="304">
        <f t="shared" ca="1" si="203"/>
        <v>896.60108381771704</v>
      </c>
      <c r="M456" s="306">
        <f t="shared" ca="1" si="219"/>
        <v>-1.4717890492196488</v>
      </c>
      <c r="N456" s="304">
        <f t="shared" ca="1" si="220"/>
        <v>-84.327300853858063</v>
      </c>
      <c r="P456" s="310">
        <f t="shared" ca="1" si="221"/>
        <v>23</v>
      </c>
      <c r="Q456" s="304">
        <f t="shared" ca="1" si="222"/>
        <v>0</v>
      </c>
      <c r="R456" s="306">
        <f t="shared" ca="1" si="223"/>
        <v>0</v>
      </c>
      <c r="S456" s="307">
        <f t="shared" ca="1" si="224"/>
        <v>2.6792999999999987</v>
      </c>
      <c r="T456" s="304">
        <f t="shared" ca="1" si="204"/>
        <v>26.283932999999987</v>
      </c>
      <c r="U456" s="311">
        <f t="shared" ca="1" si="205"/>
        <v>0</v>
      </c>
      <c r="V456" s="306">
        <f t="shared" ca="1" si="206"/>
        <v>1.1537556070003516</v>
      </c>
      <c r="W456" s="304">
        <f t="shared" ca="1" si="207"/>
        <v>20.997400782873541</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1.9639912895800382</v>
      </c>
      <c r="AH456" s="304">
        <f t="shared" ca="1" si="231"/>
        <v>-7.7969539062631448</v>
      </c>
    </row>
    <row r="457" spans="1:34" x14ac:dyDescent="0.2">
      <c r="A457" s="347">
        <f t="shared" ca="1" si="209"/>
        <v>0.1</v>
      </c>
      <c r="B457" s="304">
        <f t="shared" ca="1" si="210"/>
        <v>30.500000000000124</v>
      </c>
      <c r="D457" s="306">
        <f t="shared" ca="1" si="211"/>
        <v>-0.77464292048429684</v>
      </c>
      <c r="E457" s="307">
        <f t="shared" ca="1" si="212"/>
        <v>-2.0114810097513391</v>
      </c>
      <c r="F457" s="304">
        <f t="shared" ca="1" si="213"/>
        <v>2.1554877654133664</v>
      </c>
      <c r="G457" s="306">
        <f t="shared" ca="1" si="214"/>
        <v>9.2410523325658538</v>
      </c>
      <c r="H457" s="307">
        <f t="shared" ca="1" si="215"/>
        <v>-94.012925032428384</v>
      </c>
      <c r="I457" s="304">
        <f t="shared" ca="1" si="216"/>
        <v>94.466010402505205</v>
      </c>
      <c r="J457" s="306">
        <f t="shared" ca="1" si="217"/>
        <v>668.07551066265034</v>
      </c>
      <c r="K457" s="307">
        <f t="shared" ca="1" si="218"/>
        <v>589.61433562950685</v>
      </c>
      <c r="L457" s="304">
        <f t="shared" ca="1" si="203"/>
        <v>891.04991595700506</v>
      </c>
      <c r="M457" s="306">
        <f t="shared" ca="1" si="219"/>
        <v>-1.4728155301178609</v>
      </c>
      <c r="N457" s="304">
        <f t="shared" ca="1" si="220"/>
        <v>-84.386113877076411</v>
      </c>
      <c r="P457" s="310">
        <f t="shared" ca="1" si="221"/>
        <v>23</v>
      </c>
      <c r="Q457" s="304">
        <f t="shared" ca="1" si="222"/>
        <v>0</v>
      </c>
      <c r="R457" s="306">
        <f t="shared" ca="1" si="223"/>
        <v>0</v>
      </c>
      <c r="S457" s="307">
        <f t="shared" ca="1" si="224"/>
        <v>2.6792999999999987</v>
      </c>
      <c r="T457" s="304">
        <f t="shared" ca="1" si="204"/>
        <v>26.283932999999987</v>
      </c>
      <c r="U457" s="311">
        <f t="shared" ca="1" si="205"/>
        <v>0</v>
      </c>
      <c r="V457" s="306">
        <f t="shared" ca="1" si="206"/>
        <v>1.1548405934785992</v>
      </c>
      <c r="W457" s="304">
        <f t="shared" ca="1" si="207"/>
        <v>21.103090378438672</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1.92506030055642</v>
      </c>
      <c r="AH457" s="304">
        <f t="shared" ca="1" si="231"/>
        <v>-7.8368979893530222</v>
      </c>
    </row>
    <row r="458" spans="1:34" x14ac:dyDescent="0.2">
      <c r="A458" s="347">
        <f t="shared" ca="1" si="209"/>
        <v>0.1</v>
      </c>
      <c r="B458" s="304">
        <f t="shared" ca="1" si="210"/>
        <v>30.600000000000126</v>
      </c>
      <c r="D458" s="306">
        <f t="shared" ca="1" si="211"/>
        <v>-0.77049632279102831</v>
      </c>
      <c r="E458" s="307">
        <f t="shared" ca="1" si="212"/>
        <v>-1.9714324402162529</v>
      </c>
      <c r="F458" s="304">
        <f t="shared" ca="1" si="213"/>
        <v>2.1166507623534652</v>
      </c>
      <c r="G458" s="306">
        <f t="shared" ca="1" si="214"/>
        <v>9.1640027002867512</v>
      </c>
      <c r="H458" s="307">
        <f t="shared" ca="1" si="215"/>
        <v>-94.210068276450016</v>
      </c>
      <c r="I458" s="304">
        <f t="shared" ca="1" si="216"/>
        <v>94.654719428796767</v>
      </c>
      <c r="J458" s="306">
        <f t="shared" ca="1" si="217"/>
        <v>668.99576341429292</v>
      </c>
      <c r="K458" s="307">
        <f t="shared" ca="1" si="218"/>
        <v>580.20318596406298</v>
      </c>
      <c r="L458" s="304">
        <f t="shared" ca="1" si="203"/>
        <v>885.54563319408987</v>
      </c>
      <c r="M458" s="306">
        <f t="shared" ca="1" si="219"/>
        <v>-1.473829377688467</v>
      </c>
      <c r="N458" s="304">
        <f t="shared" ca="1" si="220"/>
        <v>-84.444203063941742</v>
      </c>
      <c r="P458" s="310">
        <f t="shared" ca="1" si="221"/>
        <v>23</v>
      </c>
      <c r="Q458" s="304">
        <f t="shared" ca="1" si="222"/>
        <v>0</v>
      </c>
      <c r="R458" s="306">
        <f t="shared" ca="1" si="223"/>
        <v>0</v>
      </c>
      <c r="S458" s="307">
        <f t="shared" ca="1" si="224"/>
        <v>2.6792999999999987</v>
      </c>
      <c r="T458" s="304">
        <f t="shared" ca="1" si="204"/>
        <v>26.283932999999987</v>
      </c>
      <c r="U458" s="311">
        <f t="shared" ca="1" si="205"/>
        <v>0</v>
      </c>
      <c r="V458" s="306">
        <f t="shared" ca="1" si="206"/>
        <v>1.1559288740850999</v>
      </c>
      <c r="W458" s="304">
        <f t="shared" ca="1" si="207"/>
        <v>21.207453654872538</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1.8866037912283868</v>
      </c>
      <c r="AH458" s="304">
        <f t="shared" ca="1" si="231"/>
        <v>-7.8763447088562994</v>
      </c>
    </row>
    <row r="459" spans="1:34" x14ac:dyDescent="0.2">
      <c r="A459" s="347">
        <f t="shared" ca="1" si="209"/>
        <v>0.1</v>
      </c>
      <c r="B459" s="304">
        <f t="shared" ca="1" si="210"/>
        <v>30.700000000000127</v>
      </c>
      <c r="D459" s="306">
        <f t="shared" ca="1" si="211"/>
        <v>-0.76631992632066592</v>
      </c>
      <c r="E459" s="307">
        <f t="shared" ca="1" si="212"/>
        <v>-1.9318865880501139</v>
      </c>
      <c r="F459" s="304">
        <f t="shared" ca="1" si="213"/>
        <v>2.0783243294933591</v>
      </c>
      <c r="G459" s="306">
        <f t="shared" ca="1" si="214"/>
        <v>9.087370707654685</v>
      </c>
      <c r="H459" s="307">
        <f t="shared" ca="1" si="215"/>
        <v>-94.40325693525503</v>
      </c>
      <c r="I459" s="304">
        <f t="shared" ca="1" si="216"/>
        <v>94.839628986843451</v>
      </c>
      <c r="J459" s="306">
        <f t="shared" ca="1" si="217"/>
        <v>669.90833208468996</v>
      </c>
      <c r="K459" s="307">
        <f t="shared" ca="1" si="218"/>
        <v>570.77251970347777</v>
      </c>
      <c r="L459" s="304">
        <f t="shared" ca="1" si="203"/>
        <v>880.09001962591765</v>
      </c>
      <c r="M459" s="306">
        <f t="shared" ca="1" si="219"/>
        <v>-1.4748308113135793</v>
      </c>
      <c r="N459" s="304">
        <f t="shared" ca="1" si="220"/>
        <v>-84.501580984123152</v>
      </c>
      <c r="P459" s="310">
        <f t="shared" ca="1" si="221"/>
        <v>23</v>
      </c>
      <c r="Q459" s="304">
        <f t="shared" ca="1" si="222"/>
        <v>0</v>
      </c>
      <c r="R459" s="306">
        <f t="shared" ca="1" si="223"/>
        <v>0</v>
      </c>
      <c r="S459" s="307">
        <f t="shared" ca="1" si="224"/>
        <v>2.6792999999999987</v>
      </c>
      <c r="T459" s="304">
        <f t="shared" ca="1" si="204"/>
        <v>26.283932999999987</v>
      </c>
      <c r="U459" s="311">
        <f t="shared" ca="1" si="205"/>
        <v>0</v>
      </c>
      <c r="V459" s="306">
        <f t="shared" ca="1" si="206"/>
        <v>1.1570204104180295</v>
      </c>
      <c r="W459" s="304">
        <f t="shared" ca="1" si="207"/>
        <v>21.310497192847834</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1.8486200217422954</v>
      </c>
      <c r="AH459" s="304">
        <f t="shared" ca="1" si="231"/>
        <v>-7.9152964038639002</v>
      </c>
    </row>
    <row r="460" spans="1:34" x14ac:dyDescent="0.2">
      <c r="A460" s="347">
        <f t="shared" ca="1" si="209"/>
        <v>0.1</v>
      </c>
      <c r="B460" s="304">
        <f t="shared" ca="1" si="210"/>
        <v>30.800000000000129</v>
      </c>
      <c r="D460" s="306">
        <f t="shared" ca="1" si="211"/>
        <v>-0.76211522330679216</v>
      </c>
      <c r="E460" s="307">
        <f t="shared" ca="1" si="212"/>
        <v>-1.8928409498583498</v>
      </c>
      <c r="F460" s="304">
        <f t="shared" ca="1" si="213"/>
        <v>2.0405064261248045</v>
      </c>
      <c r="G460" s="306">
        <f t="shared" ca="1" si="214"/>
        <v>9.0111591853240061</v>
      </c>
      <c r="H460" s="307">
        <f t="shared" ca="1" si="215"/>
        <v>-94.592541030240866</v>
      </c>
      <c r="I460" s="304">
        <f t="shared" ca="1" si="216"/>
        <v>95.020786191343689</v>
      </c>
      <c r="J460" s="306">
        <f t="shared" ca="1" si="217"/>
        <v>670.81325857933894</v>
      </c>
      <c r="K460" s="307">
        <f t="shared" ca="1" si="218"/>
        <v>561.32272980520293</v>
      </c>
      <c r="L460" s="304">
        <f t="shared" ca="1" si="203"/>
        <v>874.68487747405118</v>
      </c>
      <c r="M460" s="306">
        <f t="shared" ca="1" si="219"/>
        <v>-1.4758200449097383</v>
      </c>
      <c r="N460" s="304">
        <f t="shared" ca="1" si="220"/>
        <v>-84.558259894135617</v>
      </c>
      <c r="P460" s="310">
        <f t="shared" ca="1" si="221"/>
        <v>23</v>
      </c>
      <c r="Q460" s="304">
        <f t="shared" ca="1" si="222"/>
        <v>0</v>
      </c>
      <c r="R460" s="306">
        <f t="shared" ca="1" si="223"/>
        <v>0</v>
      </c>
      <c r="S460" s="307">
        <f t="shared" ca="1" si="224"/>
        <v>2.6792999999999987</v>
      </c>
      <c r="T460" s="304">
        <f t="shared" ca="1" si="204"/>
        <v>26.283932999999987</v>
      </c>
      <c r="U460" s="311">
        <f t="shared" ca="1" si="205"/>
        <v>0</v>
      </c>
      <c r="V460" s="306">
        <f t="shared" ca="1" si="206"/>
        <v>1.1581151645205572</v>
      </c>
      <c r="W460" s="304">
        <f t="shared" ca="1" si="207"/>
        <v>21.412227873499337</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1.8111071163589436</v>
      </c>
      <c r="AH460" s="304">
        <f t="shared" ca="1" si="231"/>
        <v>-7.9537555304922343</v>
      </c>
    </row>
    <row r="461" spans="1:34" x14ac:dyDescent="0.2">
      <c r="A461" s="347">
        <f t="shared" ca="1" si="209"/>
        <v>0.1</v>
      </c>
      <c r="B461" s="304">
        <f t="shared" ca="1" si="210"/>
        <v>30.90000000000013</v>
      </c>
      <c r="D461" s="306">
        <f t="shared" ca="1" si="211"/>
        <v>-0.7578836793087258</v>
      </c>
      <c r="E461" s="307">
        <f t="shared" ca="1" si="212"/>
        <v>-1.8542929087393656</v>
      </c>
      <c r="F461" s="304">
        <f t="shared" ca="1" si="213"/>
        <v>2.0031949138223242</v>
      </c>
      <c r="G461" s="306">
        <f t="shared" ca="1" si="214"/>
        <v>8.9353708173931334</v>
      </c>
      <c r="H461" s="307">
        <f t="shared" ca="1" si="215"/>
        <v>-94.777970321114807</v>
      </c>
      <c r="I461" s="304">
        <f t="shared" ca="1" si="216"/>
        <v>95.198237955512809</v>
      </c>
      <c r="J461" s="306">
        <f t="shared" ca="1" si="217"/>
        <v>671.71058507947475</v>
      </c>
      <c r="K461" s="307">
        <f t="shared" ca="1" si="218"/>
        <v>551.85420423763514</v>
      </c>
      <c r="L461" s="304">
        <f t="shared" ca="1" si="203"/>
        <v>869.33202681286502</v>
      </c>
      <c r="M461" s="306">
        <f t="shared" ca="1" si="219"/>
        <v>-1.4767972871009252</v>
      </c>
      <c r="N461" s="304">
        <f t="shared" ca="1" si="220"/>
        <v>-84.614251747252737</v>
      </c>
      <c r="P461" s="310">
        <f t="shared" ca="1" si="221"/>
        <v>23</v>
      </c>
      <c r="Q461" s="304">
        <f t="shared" ca="1" si="222"/>
        <v>0</v>
      </c>
      <c r="R461" s="306">
        <f t="shared" ca="1" si="223"/>
        <v>0</v>
      </c>
      <c r="S461" s="307">
        <f t="shared" ca="1" si="224"/>
        <v>2.6792999999999987</v>
      </c>
      <c r="T461" s="304">
        <f t="shared" ca="1" si="204"/>
        <v>26.283932999999987</v>
      </c>
      <c r="U461" s="311">
        <f t="shared" ca="1" si="205"/>
        <v>0</v>
      </c>
      <c r="V461" s="306">
        <f t="shared" ca="1" si="206"/>
        <v>1.1592130988792524</v>
      </c>
      <c r="W461" s="304">
        <f t="shared" ca="1" si="207"/>
        <v>21.512652865582044</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1.774063069046254</v>
      </c>
      <c r="AH461" s="304">
        <f t="shared" ca="1" si="231"/>
        <v>-7.9917246569997191</v>
      </c>
    </row>
    <row r="462" spans="1:34" x14ac:dyDescent="0.2">
      <c r="A462" s="347">
        <f t="shared" ca="1" si="209"/>
        <v>0.1</v>
      </c>
      <c r="B462" s="304">
        <f t="shared" ca="1" si="210"/>
        <v>31.000000000000131</v>
      </c>
      <c r="D462" s="306">
        <f t="shared" ca="1" si="211"/>
        <v>-0.75362673323895168</v>
      </c>
      <c r="E462" s="307">
        <f t="shared" ca="1" si="212"/>
        <v>-1.8162397391405882</v>
      </c>
      <c r="F462" s="304">
        <f t="shared" ca="1" si="213"/>
        <v>1.9663875617705391</v>
      </c>
      <c r="G462" s="306">
        <f t="shared" ca="1" si="214"/>
        <v>8.8600081440692389</v>
      </c>
      <c r="H462" s="307">
        <f t="shared" ca="1" si="215"/>
        <v>-94.959594295028865</v>
      </c>
      <c r="I462" s="304">
        <f t="shared" ca="1" si="216"/>
        <v>95.372030978633617</v>
      </c>
      <c r="J462" s="306">
        <f t="shared" ca="1" si="217"/>
        <v>672.60035402754784</v>
      </c>
      <c r="K462" s="307">
        <f t="shared" ca="1" si="218"/>
        <v>542.36732600682797</v>
      </c>
      <c r="L462" s="304">
        <f t="shared" ca="1" si="203"/>
        <v>864.03330523642398</v>
      </c>
      <c r="M462" s="306">
        <f t="shared" ca="1" si="219"/>
        <v>-1.477762741385144</v>
      </c>
      <c r="N462" s="304">
        <f t="shared" ca="1" si="220"/>
        <v>-84.669568203051298</v>
      </c>
      <c r="P462" s="310">
        <f t="shared" ca="1" si="221"/>
        <v>23</v>
      </c>
      <c r="Q462" s="304">
        <f t="shared" ca="1" si="222"/>
        <v>0</v>
      </c>
      <c r="R462" s="306">
        <f t="shared" ca="1" si="223"/>
        <v>0</v>
      </c>
      <c r="S462" s="307">
        <f t="shared" ca="1" si="224"/>
        <v>2.6792999999999987</v>
      </c>
      <c r="T462" s="304">
        <f t="shared" ca="1" si="204"/>
        <v>26.283932999999987</v>
      </c>
      <c r="U462" s="311">
        <f t="shared" ca="1" si="205"/>
        <v>0</v>
      </c>
      <c r="V462" s="306">
        <f t="shared" ca="1" si="206"/>
        <v>1.1603141764223808</v>
      </c>
      <c r="W462" s="304">
        <f t="shared" ca="1" si="207"/>
        <v>21.611779612874681</v>
      </c>
      <c r="Y462" s="314" t="str">
        <f t="shared" ca="1" si="225"/>
        <v/>
      </c>
      <c r="Z462" s="315" t="str">
        <f t="shared" ca="1" si="226"/>
        <v/>
      </c>
      <c r="AA462" s="316" t="str">
        <f t="shared" ca="1" si="227"/>
        <v/>
      </c>
      <c r="AC462" s="310">
        <f t="shared" ca="1" si="228"/>
        <v>31.000000000000131</v>
      </c>
      <c r="AD462" s="323">
        <f t="shared" ca="1" si="229"/>
        <v>672.60035402754784</v>
      </c>
      <c r="AE462" s="324" t="e">
        <f t="shared" ca="1" si="208"/>
        <v>#N/A</v>
      </c>
      <c r="AG462" s="306">
        <f t="shared" ca="1" si="230"/>
        <v>1.7374857489505349</v>
      </c>
      <c r="AH462" s="304">
        <f t="shared" ca="1" si="231"/>
        <v>-8.0292064589937873</v>
      </c>
    </row>
    <row r="463" spans="1:34" x14ac:dyDescent="0.2">
      <c r="A463" s="347">
        <f t="shared" ca="1" si="209"/>
        <v>0.1</v>
      </c>
      <c r="B463" s="304">
        <f t="shared" ca="1" si="210"/>
        <v>31.100000000000133</v>
      </c>
      <c r="D463" s="306">
        <f t="shared" ca="1" si="211"/>
        <v>-0.74934579740925888</v>
      </c>
      <c r="E463" s="307">
        <f t="shared" ca="1" si="212"/>
        <v>-1.7786786116218263</v>
      </c>
      <c r="F463" s="304">
        <f t="shared" ca="1" si="213"/>
        <v>1.9300820520215884</v>
      </c>
      <c r="G463" s="306">
        <f t="shared" ca="1" si="214"/>
        <v>8.7850735643283127</v>
      </c>
      <c r="H463" s="307">
        <f t="shared" ca="1" si="215"/>
        <v>-95.137462156191049</v>
      </c>
      <c r="I463" s="304">
        <f t="shared" ca="1" si="216"/>
        <v>95.542211734140551</v>
      </c>
      <c r="J463" s="306">
        <f t="shared" ca="1" si="217"/>
        <v>673.48260811296768</v>
      </c>
      <c r="K463" s="307">
        <f t="shared" ca="1" si="218"/>
        <v>532.86247318426695</v>
      </c>
      <c r="L463" s="304">
        <f t="shared" ca="1" si="203"/>
        <v>858.79056746025037</v>
      </c>
      <c r="M463" s="306">
        <f t="shared" ca="1" si="219"/>
        <v>-1.47871660629485</v>
      </c>
      <c r="N463" s="304">
        <f t="shared" ca="1" si="220"/>
        <v>-84.724220636603093</v>
      </c>
      <c r="P463" s="310">
        <f t="shared" ca="1" si="221"/>
        <v>23</v>
      </c>
      <c r="Q463" s="304">
        <f t="shared" ca="1" si="222"/>
        <v>0</v>
      </c>
      <c r="R463" s="306">
        <f t="shared" ca="1" si="223"/>
        <v>0</v>
      </c>
      <c r="S463" s="307">
        <f t="shared" ca="1" si="224"/>
        <v>2.6792999999999987</v>
      </c>
      <c r="T463" s="304">
        <f t="shared" ca="1" si="204"/>
        <v>26.283932999999987</v>
      </c>
      <c r="U463" s="311">
        <f t="shared" ca="1" si="205"/>
        <v>0</v>
      </c>
      <c r="V463" s="306">
        <f t="shared" ca="1" si="206"/>
        <v>1.161418360518099</v>
      </c>
      <c r="W463" s="304">
        <f t="shared" ca="1" si="207"/>
        <v>21.709615821830383</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1.701372905746716</v>
      </c>
      <c r="AH463" s="304">
        <f t="shared" ca="1" si="231"/>
        <v>-8.0662037147294789</v>
      </c>
    </row>
    <row r="464" spans="1:34" x14ac:dyDescent="0.2">
      <c r="A464" s="347">
        <f t="shared" ca="1" si="209"/>
        <v>0.1</v>
      </c>
      <c r="B464" s="304">
        <f t="shared" ca="1" si="210"/>
        <v>31.200000000000134</v>
      </c>
      <c r="D464" s="306">
        <f t="shared" ca="1" si="211"/>
        <v>-0.74504225759473075</v>
      </c>
      <c r="E464" s="307">
        <f t="shared" ca="1" si="212"/>
        <v>-1.7416065975252639</v>
      </c>
      <c r="F464" s="304">
        <f t="shared" ca="1" si="213"/>
        <v>1.8942759846826385</v>
      </c>
      <c r="G464" s="306">
        <f t="shared" ca="1" si="214"/>
        <v>8.7105693385688401</v>
      </c>
      <c r="H464" s="307">
        <f t="shared" ca="1" si="215"/>
        <v>-95.311622815943579</v>
      </c>
      <c r="I464" s="304">
        <f t="shared" ca="1" si="216"/>
        <v>95.708826458225431</v>
      </c>
      <c r="J464" s="306">
        <f t="shared" ca="1" si="217"/>
        <v>674.35739025811256</v>
      </c>
      <c r="K464" s="307">
        <f t="shared" ca="1" si="218"/>
        <v>523.34001893566017</v>
      </c>
      <c r="L464" s="304">
        <f t="shared" ca="1" si="203"/>
        <v>853.6056848541424</v>
      </c>
      <c r="M464" s="306">
        <f t="shared" ca="1" si="219"/>
        <v>-1.4796590755514825</v>
      </c>
      <c r="N464" s="304">
        <f t="shared" ca="1" si="220"/>
        <v>-84.778220147328952</v>
      </c>
      <c r="P464" s="310">
        <f t="shared" ca="1" si="221"/>
        <v>23</v>
      </c>
      <c r="Q464" s="304">
        <f t="shared" ca="1" si="222"/>
        <v>0</v>
      </c>
      <c r="R464" s="306">
        <f t="shared" ca="1" si="223"/>
        <v>0</v>
      </c>
      <c r="S464" s="307">
        <f t="shared" ca="1" si="224"/>
        <v>2.6792999999999987</v>
      </c>
      <c r="T464" s="304">
        <f t="shared" ca="1" si="204"/>
        <v>26.283932999999987</v>
      </c>
      <c r="U464" s="311">
        <f t="shared" ca="1" si="205"/>
        <v>0</v>
      </c>
      <c r="V464" s="306">
        <f t="shared" ca="1" si="206"/>
        <v>1.1625256149725447</v>
      </c>
      <c r="W464" s="304">
        <f t="shared" ca="1" si="207"/>
        <v>21.8061694494764</v>
      </c>
      <c r="Y464" s="314" t="str">
        <f t="shared" ca="1" si="225"/>
        <v/>
      </c>
      <c r="Z464" s="315" t="str">
        <f t="shared" ca="1" si="226"/>
        <v/>
      </c>
      <c r="AA464" s="316" t="str">
        <f t="shared" ca="1" si="227"/>
        <v/>
      </c>
      <c r="AC464" s="310" t="e">
        <f t="shared" ca="1" si="228"/>
        <v>#N/A</v>
      </c>
      <c r="AD464" s="323" t="e">
        <f t="shared" ca="1" si="229"/>
        <v>#N/A</v>
      </c>
      <c r="AE464" s="324" t="e">
        <f t="shared" ca="1" si="208"/>
        <v>#N/A</v>
      </c>
      <c r="AG464" s="306">
        <f t="shared" ca="1" si="230"/>
        <v>1.6657221748683977</v>
      </c>
      <c r="AH464" s="304">
        <f t="shared" ca="1" si="231"/>
        <v>-8.1027193005002776</v>
      </c>
    </row>
    <row r="465" spans="1:34" x14ac:dyDescent="0.2">
      <c r="A465" s="347">
        <f t="shared" ca="1" si="209"/>
        <v>0.1</v>
      </c>
      <c r="B465" s="304">
        <f t="shared" ca="1" si="210"/>
        <v>31.300000000000136</v>
      </c>
      <c r="D465" s="306">
        <f t="shared" ca="1" si="211"/>
        <v>-0.74071747311481317</v>
      </c>
      <c r="E465" s="307">
        <f t="shared" ca="1" si="212"/>
        <v>-1.7050206735513562</v>
      </c>
      <c r="F465" s="304">
        <f t="shared" ca="1" si="213"/>
        <v>1.8589668830334538</v>
      </c>
      <c r="G465" s="306">
        <f t="shared" ca="1" si="214"/>
        <v>8.6364975912573581</v>
      </c>
      <c r="H465" s="307">
        <f t="shared" ca="1" si="215"/>
        <v>-95.48212488329871</v>
      </c>
      <c r="I465" s="304">
        <f t="shared" ca="1" si="216"/>
        <v>95.871921138953113</v>
      </c>
      <c r="J465" s="306">
        <f t="shared" ca="1" si="217"/>
        <v>675.22474360460387</v>
      </c>
      <c r="K465" s="307">
        <f t="shared" ca="1" si="218"/>
        <v>513.80033155069805</v>
      </c>
      <c r="L465" s="304">
        <f t="shared" ca="1" si="203"/>
        <v>848.4805449021859</v>
      </c>
      <c r="M465" s="306">
        <f t="shared" ca="1" si="219"/>
        <v>-1.4805903382143495</v>
      </c>
      <c r="N465" s="304">
        <f t="shared" ca="1" si="220"/>
        <v>-84.831577567529351</v>
      </c>
      <c r="P465" s="310">
        <f t="shared" ca="1" si="221"/>
        <v>23</v>
      </c>
      <c r="Q465" s="304">
        <f t="shared" ca="1" si="222"/>
        <v>0</v>
      </c>
      <c r="R465" s="306">
        <f t="shared" ca="1" si="223"/>
        <v>0</v>
      </c>
      <c r="S465" s="307">
        <f t="shared" ca="1" si="224"/>
        <v>2.6792999999999987</v>
      </c>
      <c r="T465" s="304">
        <f t="shared" ca="1" si="204"/>
        <v>26.283932999999987</v>
      </c>
      <c r="U465" s="311">
        <f t="shared" ca="1" si="205"/>
        <v>0</v>
      </c>
      <c r="V465" s="306">
        <f t="shared" ca="1" si="206"/>
        <v>1.1636359040278301</v>
      </c>
      <c r="W465" s="304">
        <f t="shared" ca="1" si="207"/>
        <v>21.901448691564323</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1.6305310826182939</v>
      </c>
      <c r="AH465" s="304">
        <f t="shared" ca="1" si="231"/>
        <v>-8.1387561861219009</v>
      </c>
    </row>
    <row r="466" spans="1:34" x14ac:dyDescent="0.2">
      <c r="A466" s="347">
        <f t="shared" ca="1" si="209"/>
        <v>0.1</v>
      </c>
      <c r="B466" s="304">
        <f t="shared" ca="1" si="210"/>
        <v>31.400000000000137</v>
      </c>
      <c r="D466" s="306">
        <f t="shared" ca="1" si="211"/>
        <v>-0.73637277693067027</v>
      </c>
      <c r="E466" s="307">
        <f t="shared" ca="1" si="212"/>
        <v>-1.6689177262400641</v>
      </c>
      <c r="F466" s="304">
        <f t="shared" ca="1" si="213"/>
        <v>1.8241521985741465</v>
      </c>
      <c r="G466" s="306">
        <f t="shared" ca="1" si="214"/>
        <v>8.5628603135642916</v>
      </c>
      <c r="H466" s="307">
        <f t="shared" ca="1" si="215"/>
        <v>-95.649016655922722</v>
      </c>
      <c r="I466" s="304">
        <f t="shared" ca="1" si="216"/>
        <v>96.031541505875026</v>
      </c>
      <c r="J466" s="306">
        <f t="shared" ca="1" si="217"/>
        <v>676.08471149984496</v>
      </c>
      <c r="K466" s="307">
        <f t="shared" ca="1" si="218"/>
        <v>504.24377447373695</v>
      </c>
      <c r="L466" s="304">
        <f t="shared" ca="1" si="203"/>
        <v>843.41705058609614</v>
      </c>
      <c r="M466" s="306">
        <f t="shared" ca="1" si="219"/>
        <v>-1.4815105788241034</v>
      </c>
      <c r="N466" s="304">
        <f t="shared" ca="1" si="220"/>
        <v>-84.884303470604792</v>
      </c>
      <c r="P466" s="310">
        <f t="shared" ca="1" si="221"/>
        <v>23</v>
      </c>
      <c r="Q466" s="304">
        <f t="shared" ca="1" si="222"/>
        <v>0</v>
      </c>
      <c r="R466" s="306">
        <f t="shared" ca="1" si="223"/>
        <v>0</v>
      </c>
      <c r="S466" s="307">
        <f t="shared" ca="1" si="224"/>
        <v>2.6792999999999987</v>
      </c>
      <c r="T466" s="304">
        <f t="shared" ca="1" si="204"/>
        <v>26.283932999999987</v>
      </c>
      <c r="U466" s="311">
        <f t="shared" ca="1" si="205"/>
        <v>0</v>
      </c>
      <c r="V466" s="306">
        <f t="shared" ca="1" si="206"/>
        <v>1.1647491923599431</v>
      </c>
      <c r="W466" s="304">
        <f t="shared" ca="1" si="207"/>
        <v>21.995461970971636</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1.5957970511598969</v>
      </c>
      <c r="AH466" s="304">
        <f t="shared" ca="1" si="231"/>
        <v>-8.1743174305095856</v>
      </c>
    </row>
    <row r="467" spans="1:34" x14ac:dyDescent="0.2">
      <c r="A467" s="347">
        <f t="shared" ca="1" si="209"/>
        <v>0.1</v>
      </c>
      <c r="B467" s="304">
        <f t="shared" ca="1" si="210"/>
        <v>31.500000000000139</v>
      </c>
      <c r="D467" s="306">
        <f t="shared" ca="1" si="211"/>
        <v>-0.73200947575804765</v>
      </c>
      <c r="E467" s="307">
        <f t="shared" ca="1" si="212"/>
        <v>-1.6332945563571108</v>
      </c>
      <c r="F467" s="304">
        <f t="shared" ca="1" si="213"/>
        <v>1.7898293160034404</v>
      </c>
      <c r="G467" s="306">
        <f t="shared" ca="1" si="214"/>
        <v>8.4896593659884871</v>
      </c>
      <c r="H467" s="307">
        <f t="shared" ca="1" si="215"/>
        <v>-95.812346111558426</v>
      </c>
      <c r="I467" s="304">
        <f t="shared" ca="1" si="216"/>
        <v>96.187733020128817</v>
      </c>
      <c r="J467" s="306">
        <f t="shared" ca="1" si="217"/>
        <v>676.9373374838226</v>
      </c>
      <c r="K467" s="307">
        <f t="shared" ca="1" si="218"/>
        <v>494.67070633536287</v>
      </c>
      <c r="L467" s="304">
        <f t="shared" ca="1" si="203"/>
        <v>838.41711968805453</v>
      </c>
      <c r="M467" s="306">
        <f t="shared" ca="1" si="219"/>
        <v>-1.4824199775410274</v>
      </c>
      <c r="N467" s="304">
        <f t="shared" ca="1" si="220"/>
        <v>-84.93640817897915</v>
      </c>
      <c r="P467" s="310">
        <f t="shared" ca="1" si="221"/>
        <v>23</v>
      </c>
      <c r="Q467" s="304">
        <f t="shared" ca="1" si="222"/>
        <v>0</v>
      </c>
      <c r="R467" s="306">
        <f t="shared" ca="1" si="223"/>
        <v>0</v>
      </c>
      <c r="S467" s="307">
        <f t="shared" ca="1" si="224"/>
        <v>2.6792999999999987</v>
      </c>
      <c r="T467" s="304">
        <f t="shared" ca="1" si="204"/>
        <v>26.283932999999987</v>
      </c>
      <c r="U467" s="311">
        <f t="shared" ca="1" si="205"/>
        <v>0</v>
      </c>
      <c r="V467" s="306">
        <f t="shared" ca="1" si="206"/>
        <v>1.1658654450765582</v>
      </c>
      <c r="W467" s="304">
        <f t="shared" ca="1" si="207"/>
        <v>22.088217926355451</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1.5615174033911945</v>
      </c>
      <c r="AH467" s="304">
        <f t="shared" ca="1" si="231"/>
        <v>-8.2094061773491767</v>
      </c>
    </row>
    <row r="468" spans="1:34" x14ac:dyDescent="0.2">
      <c r="A468" s="347">
        <f t="shared" ca="1" si="209"/>
        <v>0.1</v>
      </c>
      <c r="B468" s="304">
        <f t="shared" ca="1" si="210"/>
        <v>31.60000000000014</v>
      </c>
      <c r="D468" s="306">
        <f t="shared" ca="1" si="211"/>
        <v>-0.7276288501949244</v>
      </c>
      <c r="E468" s="307">
        <f t="shared" ca="1" si="212"/>
        <v>-1.5981478831849287</v>
      </c>
      <c r="F468" s="304">
        <f t="shared" ca="1" si="213"/>
        <v>1.7559955581277693</v>
      </c>
      <c r="G468" s="306">
        <f t="shared" ca="1" si="214"/>
        <v>8.4168964809689939</v>
      </c>
      <c r="H468" s="307">
        <f t="shared" ca="1" si="215"/>
        <v>-95.972160899876926</v>
      </c>
      <c r="I468" s="304">
        <f t="shared" ca="1" si="216"/>
        <v>96.340540865012855</v>
      </c>
      <c r="J468" s="306">
        <f t="shared" ca="1" si="217"/>
        <v>677.78266527617052</v>
      </c>
      <c r="K468" s="307">
        <f t="shared" ca="1" si="218"/>
        <v>485.08148098479109</v>
      </c>
      <c r="L468" s="304">
        <f t="shared" ca="1" si="203"/>
        <v>833.48268400925258</v>
      </c>
      <c r="M468" s="306">
        <f t="shared" ca="1" si="219"/>
        <v>-1.4833187102783516</v>
      </c>
      <c r="N468" s="304">
        <f t="shared" ca="1" si="220"/>
        <v>-84.987901771738066</v>
      </c>
      <c r="P468" s="310">
        <f t="shared" ca="1" si="221"/>
        <v>23</v>
      </c>
      <c r="Q468" s="304">
        <f t="shared" ca="1" si="222"/>
        <v>0</v>
      </c>
      <c r="R468" s="306">
        <f t="shared" ca="1" si="223"/>
        <v>0</v>
      </c>
      <c r="S468" s="307">
        <f t="shared" ca="1" si="224"/>
        <v>2.6792999999999987</v>
      </c>
      <c r="T468" s="304">
        <f t="shared" ca="1" si="204"/>
        <v>26.283932999999987</v>
      </c>
      <c r="U468" s="311">
        <f t="shared" ca="1" si="205"/>
        <v>0</v>
      </c>
      <c r="V468" s="306">
        <f t="shared" ca="1" si="206"/>
        <v>1.1669846277147635</v>
      </c>
      <c r="W468" s="304">
        <f t="shared" ca="1" si="207"/>
        <v>22.179725401058725</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1.5276893677013614</v>
      </c>
      <c r="AH468" s="304">
        <f t="shared" ca="1" si="231"/>
        <v>-8.2440256508623371</v>
      </c>
    </row>
    <row r="469" spans="1:34" x14ac:dyDescent="0.2">
      <c r="A469" s="347">
        <f t="shared" ca="1" si="209"/>
        <v>0.1</v>
      </c>
      <c r="B469" s="304">
        <f t="shared" ca="1" si="210"/>
        <v>31.700000000000141</v>
      </c>
      <c r="D469" s="306">
        <f t="shared" ca="1" si="211"/>
        <v>-0.72323215486319126</v>
      </c>
      <c r="E469" s="307">
        <f t="shared" ca="1" si="212"/>
        <v>-1.5634743487181417</v>
      </c>
      <c r="F469" s="304">
        <f t="shared" ca="1" si="213"/>
        <v>1.7226481907016511</v>
      </c>
      <c r="G469" s="306">
        <f t="shared" ca="1" si="214"/>
        <v>8.3445732654826745</v>
      </c>
      <c r="H469" s="307">
        <f t="shared" ca="1" si="215"/>
        <v>-96.128508334748744</v>
      </c>
      <c r="I469" s="304">
        <f t="shared" ca="1" si="216"/>
        <v>96.490009937023359</v>
      </c>
      <c r="J469" s="306">
        <f t="shared" ca="1" si="217"/>
        <v>678.62073876349314</v>
      </c>
      <c r="K469" s="307">
        <f t="shared" ca="1" si="218"/>
        <v>475.47644752305979</v>
      </c>
      <c r="L469" s="304">
        <f t="shared" ca="1" si="203"/>
        <v>828.61568850044</v>
      </c>
      <c r="M469" s="306">
        <f t="shared" ca="1" si="219"/>
        <v>-1.4842069488308018</v>
      </c>
      <c r="N469" s="304">
        <f t="shared" ca="1" si="220"/>
        <v>-85.038794091994276</v>
      </c>
      <c r="P469" s="310">
        <f t="shared" ca="1" si="221"/>
        <v>23</v>
      </c>
      <c r="Q469" s="304">
        <f t="shared" ca="1" si="222"/>
        <v>0</v>
      </c>
      <c r="R469" s="306">
        <f t="shared" ca="1" si="223"/>
        <v>0</v>
      </c>
      <c r="S469" s="307">
        <f t="shared" ca="1" si="224"/>
        <v>2.6792999999999987</v>
      </c>
      <c r="T469" s="304">
        <f t="shared" ca="1" si="204"/>
        <v>26.283932999999987</v>
      </c>
      <c r="U469" s="311">
        <f t="shared" ca="1" si="205"/>
        <v>0</v>
      </c>
      <c r="V469" s="306">
        <f t="shared" ca="1" si="206"/>
        <v>1.1681067062387007</v>
      </c>
      <c r="W469" s="304">
        <f t="shared" ca="1" si="207"/>
        <v>22.269993432268798</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1.4943100826113156</v>
      </c>
      <c r="AH469" s="304">
        <f t="shared" ca="1" si="231"/>
        <v>-8.2781791516660075</v>
      </c>
    </row>
    <row r="470" spans="1:34" x14ac:dyDescent="0.2">
      <c r="A470" s="347">
        <f t="shared" ca="1" si="209"/>
        <v>0.1</v>
      </c>
      <c r="B470" s="304">
        <f t="shared" ca="1" si="210"/>
        <v>31.800000000000143</v>
      </c>
      <c r="D470" s="306">
        <f t="shared" ca="1" si="211"/>
        <v>-0.71882061856364698</v>
      </c>
      <c r="E470" s="307">
        <f t="shared" ca="1" si="212"/>
        <v>-1.5292705217637188</v>
      </c>
      <c r="F470" s="304">
        <f t="shared" ca="1" si="213"/>
        <v>1.6897844272000204</v>
      </c>
      <c r="G470" s="306">
        <f t="shared" ca="1" si="214"/>
        <v>8.2726912036263105</v>
      </c>
      <c r="H470" s="307">
        <f t="shared" ca="1" si="215"/>
        <v>-96.281435386925111</v>
      </c>
      <c r="I470" s="304">
        <f t="shared" ca="1" si="216"/>
        <v>96.636184837343365</v>
      </c>
      <c r="J470" s="306">
        <f t="shared" ca="1" si="217"/>
        <v>679.45160198694862</v>
      </c>
      <c r="K470" s="307">
        <f t="shared" ca="1" si="218"/>
        <v>465.85595033697609</v>
      </c>
      <c r="L470" s="304">
        <f t="shared" ca="1" si="203"/>
        <v>823.8180903008855</v>
      </c>
      <c r="M470" s="306">
        <f t="shared" ca="1" si="219"/>
        <v>-1.4850848609985727</v>
      </c>
      <c r="N470" s="304">
        <f t="shared" ca="1" si="220"/>
        <v>-85.089094753990736</v>
      </c>
      <c r="P470" s="310">
        <f t="shared" ca="1" si="221"/>
        <v>23</v>
      </c>
      <c r="Q470" s="304">
        <f t="shared" ca="1" si="222"/>
        <v>0</v>
      </c>
      <c r="R470" s="306">
        <f t="shared" ca="1" si="223"/>
        <v>0</v>
      </c>
      <c r="S470" s="307">
        <f t="shared" ca="1" si="224"/>
        <v>2.6792999999999987</v>
      </c>
      <c r="T470" s="304">
        <f t="shared" ca="1" si="204"/>
        <v>26.283932999999987</v>
      </c>
      <c r="U470" s="311">
        <f t="shared" ca="1" si="205"/>
        <v>0</v>
      </c>
      <c r="V470" s="306">
        <f t="shared" ca="1" si="206"/>
        <v>1.1692316470371327</v>
      </c>
      <c r="W470" s="304">
        <f t="shared" ca="1" si="207"/>
        <v>22.359031240428354</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1.4613766012993246</v>
      </c>
      <c r="AH470" s="304">
        <f t="shared" ca="1" si="231"/>
        <v>-8.3118700527260145</v>
      </c>
    </row>
    <row r="471" spans="1:34" x14ac:dyDescent="0.2">
      <c r="A471" s="347">
        <f t="shared" ca="1" si="209"/>
        <v>0.1</v>
      </c>
      <c r="B471" s="304">
        <f t="shared" ca="1" si="210"/>
        <v>31.900000000000144</v>
      </c>
      <c r="D471" s="306">
        <f t="shared" ca="1" si="211"/>
        <v>-0.71439544444364678</v>
      </c>
      <c r="E471" s="307">
        <f t="shared" ca="1" si="212"/>
        <v>-1.4955329019456496</v>
      </c>
      <c r="F471" s="304">
        <f t="shared" ca="1" si="213"/>
        <v>1.6574014335229144</v>
      </c>
      <c r="G471" s="306">
        <f t="shared" ca="1" si="214"/>
        <v>8.2012516591819455</v>
      </c>
      <c r="H471" s="307">
        <f t="shared" ca="1" si="215"/>
        <v>-96.430988677119672</v>
      </c>
      <c r="I471" s="304">
        <f t="shared" ca="1" si="216"/>
        <v>96.779109863771822</v>
      </c>
      <c r="J471" s="306">
        <f t="shared" ca="1" si="217"/>
        <v>680.27529913008902</v>
      </c>
      <c r="K471" s="307">
        <f t="shared" ca="1" si="218"/>
        <v>456.22032913377387</v>
      </c>
      <c r="L471" s="304">
        <f t="shared" ca="1" si="203"/>
        <v>819.09185768231214</v>
      </c>
      <c r="M471" s="306">
        <f t="shared" ca="1" si="219"/>
        <v>-1.4859526107069172</v>
      </c>
      <c r="N471" s="304">
        <f t="shared" ca="1" si="220"/>
        <v>-85.138813149952583</v>
      </c>
      <c r="P471" s="310">
        <f t="shared" ca="1" si="221"/>
        <v>23</v>
      </c>
      <c r="Q471" s="304">
        <f t="shared" ca="1" si="222"/>
        <v>0</v>
      </c>
      <c r="R471" s="306">
        <f t="shared" ca="1" si="223"/>
        <v>0</v>
      </c>
      <c r="S471" s="307">
        <f t="shared" ca="1" si="224"/>
        <v>2.6792999999999987</v>
      </c>
      <c r="T471" s="304">
        <f t="shared" ca="1" si="204"/>
        <v>26.283932999999987</v>
      </c>
      <c r="U471" s="311">
        <f t="shared" ca="1" si="205"/>
        <v>0</v>
      </c>
      <c r="V471" s="306">
        <f t="shared" ca="1" si="206"/>
        <v>1.1703594169209324</v>
      </c>
      <c r="W471" s="304">
        <f t="shared" ca="1" si="207"/>
        <v>22.446848218897944</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1.4288858960125399</v>
      </c>
      <c r="AH471" s="304">
        <f t="shared" ca="1" si="231"/>
        <v>-8.345101795404906</v>
      </c>
    </row>
    <row r="472" spans="1:34" x14ac:dyDescent="0.2">
      <c r="A472" s="347">
        <f t="shared" ca="1" si="209"/>
        <v>0.1</v>
      </c>
      <c r="B472" s="304">
        <f t="shared" ca="1" si="210"/>
        <v>32.000000000000142</v>
      </c>
      <c r="D472" s="306">
        <f t="shared" ca="1" si="211"/>
        <v>-0.70995781017667159</v>
      </c>
      <c r="E472" s="307">
        <f t="shared" ca="1" si="212"/>
        <v>-1.4622579236145281</v>
      </c>
      <c r="F472" s="304">
        <f t="shared" ca="1" si="213"/>
        <v>1.6254963326333054</v>
      </c>
      <c r="G472" s="306">
        <f t="shared" ca="1" si="214"/>
        <v>8.1302558781642791</v>
      </c>
      <c r="H472" s="307">
        <f t="shared" ca="1" si="215"/>
        <v>-96.57721446948112</v>
      </c>
      <c r="I472" s="304">
        <f t="shared" ca="1" si="216"/>
        <v>96.91882900308164</v>
      </c>
      <c r="J472" s="306">
        <f t="shared" ca="1" si="217"/>
        <v>681.09187450695629</v>
      </c>
      <c r="K472" s="307">
        <f t="shared" ca="1" si="218"/>
        <v>446.56991897644383</v>
      </c>
      <c r="L472" s="304">
        <f t="shared" ca="1" si="203"/>
        <v>814.43896889455573</v>
      </c>
      <c r="M472" s="306">
        <f t="shared" ca="1" si="219"/>
        <v>-1.4868103581215237</v>
      </c>
      <c r="N472" s="304">
        <f t="shared" ca="1" si="220"/>
        <v>-85.187958456697785</v>
      </c>
      <c r="P472" s="310">
        <f t="shared" ca="1" si="221"/>
        <v>23</v>
      </c>
      <c r="Q472" s="304">
        <f t="shared" ca="1" si="222"/>
        <v>0</v>
      </c>
      <c r="R472" s="306">
        <f t="shared" ca="1" si="223"/>
        <v>0</v>
      </c>
      <c r="S472" s="307">
        <f t="shared" ca="1" si="224"/>
        <v>2.6792999999999987</v>
      </c>
      <c r="T472" s="304">
        <f t="shared" ca="1" si="204"/>
        <v>26.283932999999987</v>
      </c>
      <c r="U472" s="311">
        <f t="shared" ca="1" si="205"/>
        <v>0</v>
      </c>
      <c r="V472" s="306">
        <f t="shared" ca="1" si="206"/>
        <v>1.1714899831205008</v>
      </c>
      <c r="W472" s="304">
        <f t="shared" ca="1" si="207"/>
        <v>22.533453923869438</v>
      </c>
      <c r="Y472" s="314" t="str">
        <f t="shared" ca="1" si="225"/>
        <v/>
      </c>
      <c r="Z472" s="315" t="str">
        <f t="shared" ca="1" si="226"/>
        <v/>
      </c>
      <c r="AA472" s="316" t="str">
        <f t="shared" ca="1" si="227"/>
        <v/>
      </c>
      <c r="AC472" s="310">
        <f t="shared" ca="1" si="228"/>
        <v>32.000000000000142</v>
      </c>
      <c r="AD472" s="323">
        <f t="shared" ca="1" si="229"/>
        <v>681.09187450695629</v>
      </c>
      <c r="AE472" s="324" t="e">
        <f t="shared" ca="1" si="208"/>
        <v>#N/A</v>
      </c>
      <c r="AG472" s="306">
        <f t="shared" ca="1" si="230"/>
        <v>1.3968348623657398</v>
      </c>
      <c r="AH472" s="304">
        <f t="shared" ca="1" si="231"/>
        <v>-8.3778778856036862</v>
      </c>
    </row>
    <row r="473" spans="1:34" x14ac:dyDescent="0.2">
      <c r="A473" s="347">
        <f t="shared" ca="1" si="209"/>
        <v>0.1</v>
      </c>
      <c r="B473" s="304">
        <f t="shared" ca="1" si="210"/>
        <v>32.100000000000144</v>
      </c>
      <c r="D473" s="306">
        <f t="shared" ca="1" si="211"/>
        <v>-0.70550886815320302</v>
      </c>
      <c r="E473" s="307">
        <f t="shared" ca="1" si="212"/>
        <v>-1.4294419596622703</v>
      </c>
      <c r="F473" s="304">
        <f t="shared" ca="1" si="213"/>
        <v>1.5940662091286939</v>
      </c>
      <c r="G473" s="306">
        <f t="shared" ca="1" si="214"/>
        <v>8.0597049913489585</v>
      </c>
      <c r="H473" s="307">
        <f t="shared" ca="1" si="215"/>
        <v>-96.720158665447343</v>
      </c>
      <c r="I473" s="304">
        <f t="shared" ca="1" si="216"/>
        <v>97.055385923795512</v>
      </c>
      <c r="J473" s="306">
        <f t="shared" ca="1" si="217"/>
        <v>681.90137255043192</v>
      </c>
      <c r="K473" s="307">
        <f t="shared" ca="1" si="218"/>
        <v>436.90505031969741</v>
      </c>
      <c r="L473" s="304">
        <f t="shared" ca="1" si="203"/>
        <v>809.86141090992862</v>
      </c>
      <c r="M473" s="306">
        <f t="shared" ca="1" si="219"/>
        <v>-1.4876582597598547</v>
      </c>
      <c r="N473" s="304">
        <f t="shared" ca="1" si="220"/>
        <v>-85.236539642016382</v>
      </c>
      <c r="P473" s="310">
        <f t="shared" ca="1" si="221"/>
        <v>23</v>
      </c>
      <c r="Q473" s="304">
        <f t="shared" ca="1" si="222"/>
        <v>0</v>
      </c>
      <c r="R473" s="306">
        <f t="shared" ca="1" si="223"/>
        <v>0</v>
      </c>
      <c r="S473" s="307">
        <f t="shared" ca="1" si="224"/>
        <v>2.6792999999999987</v>
      </c>
      <c r="T473" s="304">
        <f t="shared" ca="1" si="204"/>
        <v>26.283932999999987</v>
      </c>
      <c r="U473" s="311">
        <f t="shared" ca="1" si="205"/>
        <v>0</v>
      </c>
      <c r="V473" s="306">
        <f t="shared" ca="1" si="206"/>
        <v>1.1726233132831183</v>
      </c>
      <c r="W473" s="304">
        <f t="shared" ca="1" si="207"/>
        <v>22.618858064529192</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1.36522032352838</v>
      </c>
      <c r="AH473" s="304">
        <f t="shared" ca="1" si="231"/>
        <v>-8.4102018899971824</v>
      </c>
    </row>
    <row r="474" spans="1:34" x14ac:dyDescent="0.2">
      <c r="A474" s="347">
        <f t="shared" ca="1" si="209"/>
        <v>0.1</v>
      </c>
      <c r="B474" s="304">
        <f t="shared" ca="1" si="210"/>
        <v>32.200000000000145</v>
      </c>
      <c r="D474" s="306">
        <f t="shared" ca="1" si="211"/>
        <v>-0.70104974568222933</v>
      </c>
      <c r="E474" s="307">
        <f t="shared" ca="1" si="212"/>
        <v>-1.3970813252423895</v>
      </c>
      <c r="F474" s="304">
        <f t="shared" ca="1" si="213"/>
        <v>1.5631081137471423</v>
      </c>
      <c r="G474" s="306">
        <f t="shared" ca="1" si="214"/>
        <v>7.9896000167807353</v>
      </c>
      <c r="H474" s="307">
        <f t="shared" ca="1" si="215"/>
        <v>-96.859866797971577</v>
      </c>
      <c r="I474" s="304">
        <f t="shared" ca="1" si="216"/>
        <v>97.188823969368713</v>
      </c>
      <c r="J474" s="306">
        <f t="shared" ca="1" si="217"/>
        <v>682.70383780083841</v>
      </c>
      <c r="K474" s="307">
        <f t="shared" ca="1" si="218"/>
        <v>427.22604904652644</v>
      </c>
      <c r="L474" s="304">
        <f t="shared" ca="1" si="203"/>
        <v>805.36117806354332</v>
      </c>
      <c r="M474" s="306">
        <f t="shared" ca="1" si="219"/>
        <v>-1.4884964685986042</v>
      </c>
      <c r="N474" s="304">
        <f t="shared" ca="1" si="220"/>
        <v>-85.284565470827289</v>
      </c>
      <c r="P474" s="310">
        <f t="shared" ca="1" si="221"/>
        <v>23</v>
      </c>
      <c r="Q474" s="304">
        <f t="shared" ca="1" si="222"/>
        <v>0</v>
      </c>
      <c r="R474" s="306">
        <f t="shared" ca="1" si="223"/>
        <v>0</v>
      </c>
      <c r="S474" s="307">
        <f t="shared" ca="1" si="224"/>
        <v>2.6792999999999987</v>
      </c>
      <c r="T474" s="304">
        <f t="shared" ca="1" si="204"/>
        <v>26.283932999999987</v>
      </c>
      <c r="U474" s="311">
        <f t="shared" ca="1" si="205"/>
        <v>0</v>
      </c>
      <c r="V474" s="306">
        <f t="shared" ca="1" si="206"/>
        <v>1.1737593754702271</v>
      </c>
      <c r="W474" s="304">
        <f t="shared" ca="1" si="207"/>
        <v>22.703070493469802</v>
      </c>
      <c r="Y474" s="314" t="str">
        <f t="shared" ca="1" si="225"/>
        <v/>
      </c>
      <c r="Z474" s="315" t="str">
        <f t="shared" ca="1" si="226"/>
        <v/>
      </c>
      <c r="AA474" s="316" t="str">
        <f t="shared" ca="1" si="227"/>
        <v/>
      </c>
      <c r="AC474" s="310" t="e">
        <f t="shared" ca="1" si="228"/>
        <v>#N/A</v>
      </c>
      <c r="AD474" s="323" t="e">
        <f t="shared" ca="1" si="229"/>
        <v>#N/A</v>
      </c>
      <c r="AE474" s="324" t="e">
        <f t="shared" ca="1" si="208"/>
        <v>#N/A</v>
      </c>
      <c r="AG474" s="306">
        <f t="shared" ca="1" si="230"/>
        <v>1.3340390343012807</v>
      </c>
      <c r="AH474" s="304">
        <f t="shared" ca="1" si="231"/>
        <v>-8.442077432362634</v>
      </c>
    </row>
    <row r="475" spans="1:34" x14ac:dyDescent="0.2">
      <c r="A475" s="347">
        <f t="shared" ca="1" si="209"/>
        <v>0.1</v>
      </c>
      <c r="B475" s="304">
        <f t="shared" ca="1" si="210"/>
        <v>32.300000000000146</v>
      </c>
      <c r="D475" s="306">
        <f t="shared" ca="1" si="211"/>
        <v>-0.69658154520278226</v>
      </c>
      <c r="E475" s="307">
        <f t="shared" ca="1" si="212"/>
        <v>-1.3651722813962763</v>
      </c>
      <c r="F475" s="304">
        <f t="shared" ca="1" si="213"/>
        <v>1.532619067808374</v>
      </c>
      <c r="G475" s="306">
        <f t="shared" ca="1" si="214"/>
        <v>7.9199418622604574</v>
      </c>
      <c r="H475" s="307">
        <f t="shared" ca="1" si="215"/>
        <v>-96.996384026111201</v>
      </c>
      <c r="I475" s="304">
        <f t="shared" ca="1" si="216"/>
        <v>97.319186151767767</v>
      </c>
      <c r="J475" s="306">
        <f t="shared" ca="1" si="217"/>
        <v>683.49931489479047</v>
      </c>
      <c r="K475" s="307">
        <f t="shared" ca="1" si="218"/>
        <v>417.53323650532229</v>
      </c>
      <c r="L475" s="304">
        <f t="shared" ca="1" si="203"/>
        <v>800.94027058717518</v>
      </c>
      <c r="M475" s="306">
        <f t="shared" ca="1" si="219"/>
        <v>-1.4893251341774334</v>
      </c>
      <c r="N475" s="304">
        <f t="shared" ca="1" si="220"/>
        <v>-85.332044511121964</v>
      </c>
      <c r="P475" s="310">
        <f t="shared" ca="1" si="221"/>
        <v>23</v>
      </c>
      <c r="Q475" s="304">
        <f t="shared" ca="1" si="222"/>
        <v>0</v>
      </c>
      <c r="R475" s="306">
        <f t="shared" ca="1" si="223"/>
        <v>0</v>
      </c>
      <c r="S475" s="307">
        <f t="shared" ca="1" si="224"/>
        <v>2.6792999999999987</v>
      </c>
      <c r="T475" s="304">
        <f t="shared" ca="1" si="204"/>
        <v>26.283932999999987</v>
      </c>
      <c r="U475" s="311">
        <f t="shared" ca="1" si="205"/>
        <v>0</v>
      </c>
      <c r="V475" s="306">
        <f t="shared" ca="1" si="206"/>
        <v>1.1748981381546595</v>
      </c>
      <c r="W475" s="304">
        <f t="shared" ca="1" si="207"/>
        <v>22.786101197348863</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1.3032876850841024</v>
      </c>
      <c r="AH475" s="304">
        <f t="shared" ca="1" si="231"/>
        <v>-8.4735081900010503</v>
      </c>
    </row>
    <row r="476" spans="1:34" x14ac:dyDescent="0.2">
      <c r="A476" s="347">
        <f t="shared" ca="1" si="209"/>
        <v>0.1</v>
      </c>
      <c r="B476" s="304">
        <f t="shared" ca="1" si="210"/>
        <v>32.400000000000148</v>
      </c>
      <c r="D476" s="306">
        <f t="shared" ca="1" si="211"/>
        <v>-0.69210534450486938</v>
      </c>
      <c r="E476" s="307">
        <f t="shared" ca="1" si="212"/>
        <v>-1.3337110385860793</v>
      </c>
      <c r="F476" s="304">
        <f t="shared" ca="1" si="213"/>
        <v>1.5025960675905425</v>
      </c>
      <c r="G476" s="306">
        <f t="shared" ca="1" si="214"/>
        <v>7.8507313278099708</v>
      </c>
      <c r="H476" s="307">
        <f t="shared" ca="1" si="215"/>
        <v>-97.129755129969809</v>
      </c>
      <c r="I476" s="304">
        <f t="shared" ca="1" si="216"/>
        <v>97.446515145434276</v>
      </c>
      <c r="J476" s="306">
        <f t="shared" ca="1" si="217"/>
        <v>684.28784855429399</v>
      </c>
      <c r="K476" s="307">
        <f t="shared" ca="1" si="218"/>
        <v>407.82692954751826</v>
      </c>
      <c r="L476" s="304">
        <f t="shared" ca="1" si="203"/>
        <v>796.60069303460989</v>
      </c>
      <c r="M476" s="306">
        <f t="shared" ca="1" si="219"/>
        <v>-1.4901444026991266</v>
      </c>
      <c r="N476" s="304">
        <f t="shared" ca="1" si="220"/>
        <v>-85.37898513970292</v>
      </c>
      <c r="P476" s="310">
        <f t="shared" ca="1" si="221"/>
        <v>23</v>
      </c>
      <c r="Q476" s="304">
        <f t="shared" ca="1" si="222"/>
        <v>0</v>
      </c>
      <c r="R476" s="306">
        <f t="shared" ca="1" si="223"/>
        <v>0</v>
      </c>
      <c r="S476" s="307">
        <f t="shared" ca="1" si="224"/>
        <v>2.6792999999999987</v>
      </c>
      <c r="T476" s="304">
        <f t="shared" ca="1" si="204"/>
        <v>26.283932999999987</v>
      </c>
      <c r="U476" s="311">
        <f t="shared" ca="1" si="205"/>
        <v>0</v>
      </c>
      <c r="V476" s="306">
        <f t="shared" ca="1" si="206"/>
        <v>1.1760395702177993</v>
      </c>
      <c r="W476" s="304">
        <f t="shared" ca="1" si="207"/>
        <v>22.86796028779283</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1.2729629057350103</v>
      </c>
      <c r="AH476" s="304">
        <f t="shared" ca="1" si="231"/>
        <v>-8.5044978902507644</v>
      </c>
    </row>
    <row r="477" spans="1:34" x14ac:dyDescent="0.2">
      <c r="A477" s="347">
        <f t="shared" ca="1" si="209"/>
        <v>0.1</v>
      </c>
      <c r="B477" s="304">
        <f t="shared" ca="1" si="210"/>
        <v>32.500000000000149</v>
      </c>
      <c r="D477" s="306">
        <f t="shared" ca="1" si="211"/>
        <v>-0.68762219695923543</v>
      </c>
      <c r="E477" s="307">
        <f t="shared" ca="1" si="212"/>
        <v>-1.3026937601348738</v>
      </c>
      <c r="F477" s="304">
        <f t="shared" ca="1" si="213"/>
        <v>1.4730360886432421</v>
      </c>
      <c r="G477" s="306">
        <f t="shared" ca="1" si="214"/>
        <v>7.7819691081140476</v>
      </c>
      <c r="H477" s="307">
        <f t="shared" ca="1" si="215"/>
        <v>-97.260024505983296</v>
      </c>
      <c r="I477" s="304">
        <f t="shared" ca="1" si="216"/>
        <v>97.57085328162357</v>
      </c>
      <c r="J477" s="306">
        <f t="shared" ca="1" si="217"/>
        <v>685.06948357609019</v>
      </c>
      <c r="K477" s="307">
        <f t="shared" ca="1" si="218"/>
        <v>398.10744056572059</v>
      </c>
      <c r="L477" s="304">
        <f t="shared" ca="1" si="203"/>
        <v>792.34445259684856</v>
      </c>
      <c r="M477" s="306">
        <f t="shared" ca="1" si="219"/>
        <v>-1.490954417126312</v>
      </c>
      <c r="N477" s="304">
        <f t="shared" ca="1" si="220"/>
        <v>-85.425395547725344</v>
      </c>
      <c r="P477" s="310">
        <f t="shared" ca="1" si="221"/>
        <v>23</v>
      </c>
      <c r="Q477" s="304">
        <f t="shared" ca="1" si="222"/>
        <v>0</v>
      </c>
      <c r="R477" s="306">
        <f t="shared" ca="1" si="223"/>
        <v>0</v>
      </c>
      <c r="S477" s="307">
        <f t="shared" ca="1" si="224"/>
        <v>2.6792999999999987</v>
      </c>
      <c r="T477" s="304">
        <f t="shared" ca="1" si="204"/>
        <v>26.283932999999987</v>
      </c>
      <c r="U477" s="311">
        <f t="shared" ca="1" si="205"/>
        <v>0</v>
      </c>
      <c r="V477" s="306">
        <f t="shared" ca="1" si="206"/>
        <v>1.1771836409466934</v>
      </c>
      <c r="W477" s="304">
        <f t="shared" ca="1" si="207"/>
        <v>22.948657992544362</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1.2430612693239009</v>
      </c>
      <c r="AH477" s="304">
        <f t="shared" ca="1" si="231"/>
        <v>-8.5350503070924653</v>
      </c>
    </row>
    <row r="478" spans="1:34" x14ac:dyDescent="0.2">
      <c r="A478" s="347">
        <f t="shared" ca="1" si="209"/>
        <v>0.1</v>
      </c>
      <c r="B478" s="304">
        <f t="shared" ca="1" si="210"/>
        <v>32.600000000000151</v>
      </c>
      <c r="D478" s="306">
        <f t="shared" ca="1" si="211"/>
        <v>-0.68313313175536527</v>
      </c>
      <c r="E478" s="307">
        <f t="shared" ca="1" si="212"/>
        <v>-1.2721165655747644</v>
      </c>
      <c r="F478" s="304">
        <f t="shared" ca="1" si="213"/>
        <v>1.4439360900370997</v>
      </c>
      <c r="G478" s="306">
        <f t="shared" ca="1" si="214"/>
        <v>7.7136557949385107</v>
      </c>
      <c r="H478" s="307">
        <f t="shared" ca="1" si="215"/>
        <v>-97.387236162540773</v>
      </c>
      <c r="I478" s="304">
        <f t="shared" ca="1" si="216"/>
        <v>97.69224254310717</v>
      </c>
      <c r="J478" s="306">
        <f t="shared" ca="1" si="217"/>
        <v>685.84426482124286</v>
      </c>
      <c r="K478" s="307">
        <f t="shared" ca="1" si="218"/>
        <v>388.37507753229437</v>
      </c>
      <c r="L478" s="304">
        <f t="shared" ca="1" si="203"/>
        <v>788.17355730600787</v>
      </c>
      <c r="M478" s="306">
        <f t="shared" ca="1" si="219"/>
        <v>-1.4917553172748803</v>
      </c>
      <c r="N478" s="304">
        <f t="shared" ca="1" si="220"/>
        <v>-85.471283746049707</v>
      </c>
      <c r="P478" s="310">
        <f t="shared" ca="1" si="221"/>
        <v>23</v>
      </c>
      <c r="Q478" s="304">
        <f t="shared" ca="1" si="222"/>
        <v>0</v>
      </c>
      <c r="R478" s="306">
        <f t="shared" ca="1" si="223"/>
        <v>0</v>
      </c>
      <c r="S478" s="307">
        <f t="shared" ca="1" si="224"/>
        <v>2.6792999999999987</v>
      </c>
      <c r="T478" s="304">
        <f t="shared" ca="1" si="204"/>
        <v>26.283932999999987</v>
      </c>
      <c r="U478" s="311">
        <f t="shared" ca="1" si="205"/>
        <v>0</v>
      </c>
      <c r="V478" s="306">
        <f t="shared" ca="1" si="206"/>
        <v>1.1783303200311102</v>
      </c>
      <c r="W478" s="304">
        <f t="shared" ca="1" si="207"/>
        <v>23.028204646850742</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1.2135792957805407</v>
      </c>
      <c r="AH478" s="304">
        <f t="shared" ca="1" si="231"/>
        <v>-8.5651692578450991</v>
      </c>
    </row>
    <row r="479" spans="1:34" x14ac:dyDescent="0.2">
      <c r="A479" s="347">
        <f t="shared" ca="1" si="209"/>
        <v>0.1</v>
      </c>
      <c r="B479" s="304">
        <f t="shared" ca="1" si="210"/>
        <v>32.700000000000152</v>
      </c>
      <c r="D479" s="306">
        <f t="shared" ca="1" si="211"/>
        <v>-0.67863915414717668</v>
      </c>
      <c r="E479" s="307">
        <f t="shared" ca="1" si="212"/>
        <v>-1.2419755339037959</v>
      </c>
      <c r="F479" s="304">
        <f t="shared" ca="1" si="213"/>
        <v>1.4152930185502981</v>
      </c>
      <c r="G479" s="306">
        <f t="shared" ca="1" si="214"/>
        <v>7.6457918795237934</v>
      </c>
      <c r="H479" s="307">
        <f t="shared" ca="1" si="215"/>
        <v>-97.511433715931148</v>
      </c>
      <c r="I479" s="304">
        <f t="shared" ca="1" si="216"/>
        <v>97.810724559229328</v>
      </c>
      <c r="J479" s="306">
        <f t="shared" ca="1" si="217"/>
        <v>686.61223720496594</v>
      </c>
      <c r="K479" s="307">
        <f t="shared" ca="1" si="218"/>
        <v>378.63014403837076</v>
      </c>
      <c r="L479" s="304">
        <f t="shared" ca="1" si="203"/>
        <v>784.09001412728492</v>
      </c>
      <c r="M479" s="306">
        <f t="shared" ca="1" si="219"/>
        <v>-1.4925472399042294</v>
      </c>
      <c r="N479" s="304">
        <f t="shared" ca="1" si="220"/>
        <v>-85.51665757041232</v>
      </c>
      <c r="P479" s="310">
        <f t="shared" ca="1" si="221"/>
        <v>23</v>
      </c>
      <c r="Q479" s="304">
        <f t="shared" ca="1" si="222"/>
        <v>0</v>
      </c>
      <c r="R479" s="306">
        <f t="shared" ca="1" si="223"/>
        <v>0</v>
      </c>
      <c r="S479" s="307">
        <f t="shared" ca="1" si="224"/>
        <v>2.6792999999999987</v>
      </c>
      <c r="T479" s="304">
        <f t="shared" ca="1" si="204"/>
        <v>26.283932999999987</v>
      </c>
      <c r="U479" s="311">
        <f t="shared" ca="1" si="205"/>
        <v>0</v>
      </c>
      <c r="V479" s="306">
        <f t="shared" ca="1" si="206"/>
        <v>1.1794795775605464</v>
      </c>
      <c r="W479" s="304">
        <f t="shared" ca="1" si="207"/>
        <v>23.106610685091244</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1.1845134554390633</v>
      </c>
      <c r="AH479" s="304">
        <f t="shared" ca="1" si="231"/>
        <v>-8.5948585999517615</v>
      </c>
    </row>
    <row r="480" spans="1:34" x14ac:dyDescent="0.2">
      <c r="A480" s="347">
        <f t="shared" ca="1" si="209"/>
        <v>0.1</v>
      </c>
      <c r="B480" s="304">
        <f t="shared" ca="1" si="210"/>
        <v>32.800000000000153</v>
      </c>
      <c r="D480" s="306">
        <f t="shared" ca="1" si="211"/>
        <v>-0.67414124570586875</v>
      </c>
      <c r="E480" s="307">
        <f t="shared" ca="1" si="212"/>
        <v>-1.2122667067524908</v>
      </c>
      <c r="F480" s="304">
        <f t="shared" ca="1" si="213"/>
        <v>1.3871038127921032</v>
      </c>
      <c r="G480" s="306">
        <f t="shared" ca="1" si="214"/>
        <v>7.5783777549532063</v>
      </c>
      <c r="H480" s="307">
        <f t="shared" ca="1" si="215"/>
        <v>-97.632660386606403</v>
      </c>
      <c r="I480" s="304">
        <f t="shared" ca="1" si="216"/>
        <v>97.926340601307032</v>
      </c>
      <c r="J480" s="306">
        <f t="shared" ca="1" si="217"/>
        <v>687.37344568668982</v>
      </c>
      <c r="K480" s="307">
        <f t="shared" ca="1" si="218"/>
        <v>368.87293933324389</v>
      </c>
      <c r="L480" s="304">
        <f t="shared" ca="1" si="203"/>
        <v>780.09582693893424</v>
      </c>
      <c r="M480" s="306">
        <f t="shared" ca="1" si="219"/>
        <v>-1.4933303188044589</v>
      </c>
      <c r="N480" s="304">
        <f t="shared" ca="1" si="220"/>
        <v>-85.561524686421208</v>
      </c>
      <c r="P480" s="310">
        <f t="shared" ca="1" si="221"/>
        <v>23</v>
      </c>
      <c r="Q480" s="304">
        <f t="shared" ca="1" si="222"/>
        <v>0</v>
      </c>
      <c r="R480" s="306">
        <f t="shared" ca="1" si="223"/>
        <v>0</v>
      </c>
      <c r="S480" s="307">
        <f t="shared" ca="1" si="224"/>
        <v>2.6792999999999987</v>
      </c>
      <c r="T480" s="304">
        <f t="shared" ca="1" si="204"/>
        <v>26.283932999999987</v>
      </c>
      <c r="U480" s="311">
        <f t="shared" ca="1" si="205"/>
        <v>0</v>
      </c>
      <c r="V480" s="306">
        <f t="shared" ca="1" si="206"/>
        <v>1.1806313840211904</v>
      </c>
      <c r="W480" s="304">
        <f t="shared" ca="1" si="207"/>
        <v>23.183886632640966</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1.1558601724803186</v>
      </c>
      <c r="AH480" s="304">
        <f t="shared" ca="1" si="231"/>
        <v>-8.6241222278547589</v>
      </c>
    </row>
    <row r="481" spans="1:34" x14ac:dyDescent="0.2">
      <c r="A481" s="347">
        <f t="shared" ca="1" si="209"/>
        <v>0.1</v>
      </c>
      <c r="B481" s="304">
        <f t="shared" ca="1" si="210"/>
        <v>32.900000000000155</v>
      </c>
      <c r="D481" s="306">
        <f t="shared" ca="1" si="211"/>
        <v>-0.66964036457940412</v>
      </c>
      <c r="E481" s="307">
        <f t="shared" ca="1" si="212"/>
        <v>-1.1829860914609469</v>
      </c>
      <c r="F481" s="304">
        <f t="shared" ca="1" si="213"/>
        <v>1.3593654072632881</v>
      </c>
      <c r="G481" s="306">
        <f t="shared" ca="1" si="214"/>
        <v>7.5114137184952661</v>
      </c>
      <c r="H481" s="307">
        <f t="shared" ca="1" si="215"/>
        <v>-97.750958995752498</v>
      </c>
      <c r="I481" s="304">
        <f t="shared" ca="1" si="216"/>
        <v>98.039131578363566</v>
      </c>
      <c r="J481" s="306">
        <f t="shared" ca="1" si="217"/>
        <v>688.12793526036228</v>
      </c>
      <c r="K481" s="307">
        <f t="shared" ca="1" si="218"/>
        <v>359.10375836412595</v>
      </c>
      <c r="L481" s="304">
        <f t="shared" ca="1" si="203"/>
        <v>776.19299440083194</v>
      </c>
      <c r="M481" s="306">
        <f t="shared" ca="1" si="219"/>
        <v>-1.4941046848806327</v>
      </c>
      <c r="N481" s="304">
        <f t="shared" ca="1" si="220"/>
        <v>-85.605892594384073</v>
      </c>
      <c r="P481" s="310">
        <f t="shared" ca="1" si="221"/>
        <v>23</v>
      </c>
      <c r="Q481" s="304">
        <f t="shared" ca="1" si="222"/>
        <v>0</v>
      </c>
      <c r="R481" s="306">
        <f t="shared" ca="1" si="223"/>
        <v>0</v>
      </c>
      <c r="S481" s="307">
        <f t="shared" ca="1" si="224"/>
        <v>2.6792999999999987</v>
      </c>
      <c r="T481" s="304">
        <f t="shared" ca="1" si="204"/>
        <v>26.283932999999987</v>
      </c>
      <c r="U481" s="311">
        <f t="shared" ca="1" si="205"/>
        <v>0</v>
      </c>
      <c r="V481" s="306">
        <f t="shared" ca="1" si="206"/>
        <v>1.1817857102928384</v>
      </c>
      <c r="W481" s="304">
        <f t="shared" ca="1" si="207"/>
        <v>23.260043097968428</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1.1276158282735249</v>
      </c>
      <c r="AH481" s="304">
        <f t="shared" ca="1" si="231"/>
        <v>-8.6529640699589354</v>
      </c>
    </row>
    <row r="482" spans="1:34" x14ac:dyDescent="0.2">
      <c r="A482" s="347">
        <f t="shared" ca="1" si="209"/>
        <v>0.1</v>
      </c>
      <c r="B482" s="304">
        <f t="shared" ca="1" si="210"/>
        <v>33.000000000000156</v>
      </c>
      <c r="D482" s="306">
        <f t="shared" ca="1" si="211"/>
        <v>-0.66513744575809952</v>
      </c>
      <c r="E482" s="307">
        <f t="shared" ca="1" si="212"/>
        <v>-1.1541296640675114</v>
      </c>
      <c r="F482" s="304">
        <f t="shared" ca="1" si="213"/>
        <v>1.3320747363531056</v>
      </c>
      <c r="G482" s="306">
        <f t="shared" ca="1" si="214"/>
        <v>7.4448999739194557</v>
      </c>
      <c r="H482" s="307">
        <f t="shared" ca="1" si="215"/>
        <v>-97.866371962159249</v>
      </c>
      <c r="I482" s="304">
        <f t="shared" ca="1" si="216"/>
        <v>98.149138033185892</v>
      </c>
      <c r="J482" s="306">
        <f t="shared" ca="1" si="217"/>
        <v>688.875750944983</v>
      </c>
      <c r="K482" s="307">
        <f t="shared" ca="1" si="218"/>
        <v>349.32289181623037</v>
      </c>
      <c r="L482" s="304">
        <f t="shared" ca="1" si="203"/>
        <v>772.38350771288992</v>
      </c>
      <c r="M482" s="306">
        <f t="shared" ca="1" si="219"/>
        <v>-1.4948704662342198</v>
      </c>
      <c r="N482" s="304">
        <f t="shared" ca="1" si="220"/>
        <v>-85.649768633974432</v>
      </c>
      <c r="P482" s="310">
        <f t="shared" ca="1" si="221"/>
        <v>23</v>
      </c>
      <c r="Q482" s="304">
        <f t="shared" ca="1" si="222"/>
        <v>0</v>
      </c>
      <c r="R482" s="306">
        <f t="shared" ca="1" si="223"/>
        <v>0</v>
      </c>
      <c r="S482" s="307">
        <f t="shared" ca="1" si="224"/>
        <v>2.6792999999999987</v>
      </c>
      <c r="T482" s="304">
        <f t="shared" ca="1" si="204"/>
        <v>26.283932999999987</v>
      </c>
      <c r="U482" s="311">
        <f t="shared" ca="1" si="205"/>
        <v>0</v>
      </c>
      <c r="V482" s="306">
        <f t="shared" ca="1" si="206"/>
        <v>1.1829425276457748</v>
      </c>
      <c r="W482" s="304">
        <f t="shared" ca="1" si="207"/>
        <v>23.33509076496448</v>
      </c>
      <c r="Y482" s="314" t="str">
        <f t="shared" ca="1" si="225"/>
        <v/>
      </c>
      <c r="Z482" s="315" t="str">
        <f t="shared" ca="1" si="226"/>
        <v/>
      </c>
      <c r="AA482" s="316" t="str">
        <f t="shared" ca="1" si="227"/>
        <v/>
      </c>
      <c r="AC482" s="310">
        <f t="shared" ca="1" si="228"/>
        <v>33.000000000000156</v>
      </c>
      <c r="AD482" s="323">
        <f t="shared" ca="1" si="229"/>
        <v>688.875750944983</v>
      </c>
      <c r="AE482" s="324" t="e">
        <f t="shared" ca="1" si="208"/>
        <v>#N/A</v>
      </c>
      <c r="AG482" s="306">
        <f t="shared" ca="1" si="230"/>
        <v>1.0997767646188308</v>
      </c>
      <c r="AH482" s="304">
        <f t="shared" ca="1" si="231"/>
        <v>-8.6813880856822454</v>
      </c>
    </row>
    <row r="483" spans="1:34" x14ac:dyDescent="0.2">
      <c r="A483" s="347">
        <f t="shared" ca="1" si="209"/>
        <v>0.1</v>
      </c>
      <c r="B483" s="304">
        <f t="shared" ca="1" si="210"/>
        <v>33.100000000000158</v>
      </c>
      <c r="D483" s="306">
        <f t="shared" ca="1" si="211"/>
        <v>-0.66063340134588389</v>
      </c>
      <c r="E483" s="307">
        <f t="shared" ca="1" si="212"/>
        <v>-1.1256933722099571</v>
      </c>
      <c r="F483" s="304">
        <f t="shared" ca="1" si="213"/>
        <v>1.3052287382720535</v>
      </c>
      <c r="G483" s="306">
        <f t="shared" ca="1" si="214"/>
        <v>7.378836633784867</v>
      </c>
      <c r="H483" s="307">
        <f t="shared" ca="1" si="215"/>
        <v>-97.978941299380239</v>
      </c>
      <c r="I483" s="304">
        <f t="shared" ca="1" si="216"/>
        <v>98.256400138695724</v>
      </c>
      <c r="J483" s="306">
        <f t="shared" ca="1" si="217"/>
        <v>689.61693777536823</v>
      </c>
      <c r="K483" s="307">
        <f t="shared" ca="1" si="218"/>
        <v>339.53062615315338</v>
      </c>
      <c r="L483" s="304">
        <f t="shared" ca="1" si="203"/>
        <v>768.66934826531781</v>
      </c>
      <c r="M483" s="306">
        <f t="shared" ca="1" si="219"/>
        <v>-1.4956277882418227</v>
      </c>
      <c r="N483" s="304">
        <f t="shared" ca="1" si="220"/>
        <v>-85.693159988742451</v>
      </c>
      <c r="P483" s="310">
        <f t="shared" ca="1" si="221"/>
        <v>23</v>
      </c>
      <c r="Q483" s="304">
        <f t="shared" ca="1" si="222"/>
        <v>0</v>
      </c>
      <c r="R483" s="306">
        <f t="shared" ca="1" si="223"/>
        <v>0</v>
      </c>
      <c r="S483" s="307">
        <f t="shared" ca="1" si="224"/>
        <v>2.6792999999999987</v>
      </c>
      <c r="T483" s="304">
        <f t="shared" ca="1" si="204"/>
        <v>26.283932999999987</v>
      </c>
      <c r="U483" s="311">
        <f t="shared" ca="1" si="205"/>
        <v>0</v>
      </c>
      <c r="V483" s="306">
        <f t="shared" ca="1" si="206"/>
        <v>1.1841018077376075</v>
      </c>
      <c r="W483" s="304">
        <f t="shared" ca="1" si="207"/>
        <v>23.409040385499125</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1.0723392868921593</v>
      </c>
      <c r="AH483" s="304">
        <f t="shared" ca="1" si="231"/>
        <v>-8.7093982625926518</v>
      </c>
    </row>
    <row r="484" spans="1:34" x14ac:dyDescent="0.2">
      <c r="A484" s="347">
        <f t="shared" ca="1" si="209"/>
        <v>0.1</v>
      </c>
      <c r="B484" s="304">
        <f t="shared" ca="1" si="210"/>
        <v>33.200000000000159</v>
      </c>
      <c r="D484" s="306">
        <f t="shared" ca="1" si="211"/>
        <v>-0.65612912083669972</v>
      </c>
      <c r="E484" s="307">
        <f t="shared" ca="1" si="212"/>
        <v>-1.0976731379404505</v>
      </c>
      <c r="F484" s="304">
        <f t="shared" ca="1" si="213"/>
        <v>1.2788243589195414</v>
      </c>
      <c r="G484" s="306">
        <f t="shared" ca="1" si="214"/>
        <v>7.3132237217011973</v>
      </c>
      <c r="H484" s="307">
        <f t="shared" ca="1" si="215"/>
        <v>-98.08870861317429</v>
      </c>
      <c r="I484" s="304">
        <f t="shared" ca="1" si="216"/>
        <v>98.360957694625284</v>
      </c>
      <c r="J484" s="306">
        <f t="shared" ca="1" si="217"/>
        <v>690.35154079314248</v>
      </c>
      <c r="K484" s="307">
        <f t="shared" ca="1" si="218"/>
        <v>329.72724365752566</v>
      </c>
      <c r="L484" s="304">
        <f t="shared" ca="1" si="203"/>
        <v>765.05248518350368</v>
      </c>
      <c r="M484" s="306">
        <f t="shared" ca="1" si="219"/>
        <v>-1.4963767736312961</v>
      </c>
      <c r="N484" s="304">
        <f t="shared" ca="1" si="220"/>
        <v>-85.736073690476232</v>
      </c>
      <c r="P484" s="310">
        <f t="shared" ca="1" si="221"/>
        <v>23</v>
      </c>
      <c r="Q484" s="304">
        <f t="shared" ca="1" si="222"/>
        <v>0</v>
      </c>
      <c r="R484" s="306">
        <f t="shared" ca="1" si="223"/>
        <v>0</v>
      </c>
      <c r="S484" s="307">
        <f t="shared" ca="1" si="224"/>
        <v>2.6792999999999987</v>
      </c>
      <c r="T484" s="304">
        <f t="shared" ca="1" si="204"/>
        <v>26.283932999999987</v>
      </c>
      <c r="U484" s="311">
        <f t="shared" ca="1" si="205"/>
        <v>0</v>
      </c>
      <c r="V484" s="306">
        <f t="shared" ca="1" si="206"/>
        <v>1.1852635226100752</v>
      </c>
      <c r="W484" s="304">
        <f t="shared" ca="1" si="207"/>
        <v>23.481902772203998</v>
      </c>
      <c r="Y484" s="314" t="str">
        <f t="shared" ca="1" si="225"/>
        <v/>
      </c>
      <c r="Z484" s="315" t="str">
        <f t="shared" ca="1" si="226"/>
        <v/>
      </c>
      <c r="AA484" s="316" t="str">
        <f t="shared" ca="1" si="227"/>
        <v/>
      </c>
      <c r="AC484" s="310" t="e">
        <f t="shared" ca="1" si="228"/>
        <v>#N/A</v>
      </c>
      <c r="AD484" s="323" t="e">
        <f t="shared" ca="1" si="229"/>
        <v>#N/A</v>
      </c>
      <c r="AE484" s="324" t="e">
        <f t="shared" ca="1" si="208"/>
        <v>#N/A</v>
      </c>
      <c r="AG484" s="306">
        <f t="shared" ca="1" si="230"/>
        <v>1.0452996670941772</v>
      </c>
      <c r="AH484" s="304">
        <f t="shared" ca="1" si="231"/>
        <v>-8.736998613630103</v>
      </c>
    </row>
    <row r="485" spans="1:34" x14ac:dyDescent="0.2">
      <c r="A485" s="347">
        <f t="shared" ca="1" si="209"/>
        <v>0.1</v>
      </c>
      <c r="B485" s="304">
        <f t="shared" ca="1" si="210"/>
        <v>33.300000000000161</v>
      </c>
      <c r="D485" s="306">
        <f t="shared" ca="1" si="211"/>
        <v>-0.65162547139563987</v>
      </c>
      <c r="E485" s="307">
        <f t="shared" ca="1" si="212"/>
        <v>-1.0700648604551439</v>
      </c>
      <c r="F485" s="304">
        <f t="shared" ca="1" si="213"/>
        <v>1.2528585556847496</v>
      </c>
      <c r="G485" s="306">
        <f t="shared" ca="1" si="214"/>
        <v>7.2480611745616335</v>
      </c>
      <c r="H485" s="307">
        <f t="shared" ca="1" si="215"/>
        <v>-98.195715099219811</v>
      </c>
      <c r="I485" s="304">
        <f t="shared" ca="1" si="216"/>
        <v>98.46285012448773</v>
      </c>
      <c r="J485" s="306">
        <f t="shared" ca="1" si="217"/>
        <v>691.07960503795562</v>
      </c>
      <c r="K485" s="307">
        <f t="shared" ca="1" si="218"/>
        <v>319.91302247190595</v>
      </c>
      <c r="L485" s="304">
        <f t="shared" ca="1" si="203"/>
        <v>761.53487277112072</v>
      </c>
      <c r="M485" s="306">
        <f t="shared" ca="1" si="219"/>
        <v>-1.4971175425553538</v>
      </c>
      <c r="N485" s="304">
        <f t="shared" ca="1" si="220"/>
        <v>-85.778516623419193</v>
      </c>
      <c r="P485" s="310">
        <f t="shared" ca="1" si="221"/>
        <v>23</v>
      </c>
      <c r="Q485" s="304">
        <f t="shared" ca="1" si="222"/>
        <v>0</v>
      </c>
      <c r="R485" s="306">
        <f t="shared" ca="1" si="223"/>
        <v>0</v>
      </c>
      <c r="S485" s="307">
        <f t="shared" ca="1" si="224"/>
        <v>2.6792999999999987</v>
      </c>
      <c r="T485" s="304">
        <f t="shared" ca="1" si="204"/>
        <v>26.283932999999987</v>
      </c>
      <c r="U485" s="311">
        <f t="shared" ca="1" si="205"/>
        <v>0</v>
      </c>
      <c r="V485" s="306">
        <f t="shared" ca="1" si="206"/>
        <v>1.1864276446858129</v>
      </c>
      <c r="W485" s="304">
        <f t="shared" ca="1" si="207"/>
        <v>23.553688791476631</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1.0186541468046446</v>
      </c>
      <c r="AH485" s="304">
        <f t="shared" ca="1" si="231"/>
        <v>-8.7641931744127231</v>
      </c>
    </row>
    <row r="486" spans="1:34" x14ac:dyDescent="0.2">
      <c r="A486" s="347">
        <f t="shared" ca="1" si="209"/>
        <v>0.1</v>
      </c>
      <c r="B486" s="304">
        <f t="shared" ca="1" si="210"/>
        <v>33.400000000000162</v>
      </c>
      <c r="D486" s="306">
        <f t="shared" ca="1" si="211"/>
        <v>-0.64712329814434177</v>
      </c>
      <c r="E486" s="307">
        <f t="shared" ca="1" si="212"/>
        <v>-1.0428644187398817</v>
      </c>
      <c r="F486" s="304">
        <f t="shared" ca="1" si="213"/>
        <v>1.2273283011789804</v>
      </c>
      <c r="G486" s="306">
        <f t="shared" ca="1" si="214"/>
        <v>7.1833488447471989</v>
      </c>
      <c r="H486" s="307">
        <f t="shared" ca="1" si="215"/>
        <v>-98.300001541093792</v>
      </c>
      <c r="I486" s="304">
        <f t="shared" ca="1" si="216"/>
        <v>98.562116472833381</v>
      </c>
      <c r="J486" s="306">
        <f t="shared" ca="1" si="217"/>
        <v>691.80117553892103</v>
      </c>
      <c r="K486" s="307">
        <f t="shared" ca="1" si="218"/>
        <v>310.08823663989028</v>
      </c>
      <c r="L486" s="304">
        <f t="shared" ca="1" si="203"/>
        <v>758.11844785592018</v>
      </c>
      <c r="M486" s="306">
        <f t="shared" ca="1" si="219"/>
        <v>-1.4978502126627598</v>
      </c>
      <c r="N486" s="304">
        <f t="shared" ca="1" si="220"/>
        <v>-85.820495528348957</v>
      </c>
      <c r="P486" s="310">
        <f t="shared" ca="1" si="221"/>
        <v>23</v>
      </c>
      <c r="Q486" s="304">
        <f t="shared" ca="1" si="222"/>
        <v>0</v>
      </c>
      <c r="R486" s="306">
        <f t="shared" ca="1" si="223"/>
        <v>0</v>
      </c>
      <c r="S486" s="307">
        <f t="shared" ca="1" si="224"/>
        <v>2.6792999999999987</v>
      </c>
      <c r="T486" s="304">
        <f t="shared" ca="1" si="204"/>
        <v>26.283932999999987</v>
      </c>
      <c r="U486" s="311">
        <f t="shared" ca="1" si="205"/>
        <v>0</v>
      </c>
      <c r="V486" s="306">
        <f t="shared" ca="1" si="206"/>
        <v>1.1875941467650946</v>
      </c>
      <c r="W486" s="304">
        <f t="shared" ca="1" si="207"/>
        <v>23.624409356703939</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0.99239894004407958</v>
      </c>
      <c r="AH486" s="304">
        <f t="shared" ca="1" si="231"/>
        <v>-8.790986000625777</v>
      </c>
    </row>
    <row r="487" spans="1:34" x14ac:dyDescent="0.2">
      <c r="A487" s="347">
        <f t="shared" ca="1" si="209"/>
        <v>0.1</v>
      </c>
      <c r="B487" s="304">
        <f t="shared" ca="1" si="210"/>
        <v>33.500000000000163</v>
      </c>
      <c r="D487" s="306">
        <f t="shared" ca="1" si="211"/>
        <v>-0.64262342445024356</v>
      </c>
      <c r="E487" s="307">
        <f t="shared" ca="1" si="212"/>
        <v>-1.0160676741329748</v>
      </c>
      <c r="F487" s="304">
        <f t="shared" ca="1" si="213"/>
        <v>1.2022305868967695</v>
      </c>
      <c r="G487" s="306">
        <f t="shared" ca="1" si="214"/>
        <v>7.1190865023021743</v>
      </c>
      <c r="H487" s="307">
        <f t="shared" ca="1" si="215"/>
        <v>-98.401608308507093</v>
      </c>
      <c r="I487" s="304">
        <f t="shared" ca="1" si="216"/>
        <v>98.658795402782573</v>
      </c>
      <c r="J487" s="306">
        <f t="shared" ca="1" si="217"/>
        <v>692.51629730627349</v>
      </c>
      <c r="K487" s="307">
        <f t="shared" ca="1" si="218"/>
        <v>300.25315614741021</v>
      </c>
      <c r="L487" s="304">
        <f t="shared" ca="1" si="203"/>
        <v>754.80512704357807</v>
      </c>
      <c r="M487" s="306">
        <f t="shared" ca="1" si="219"/>
        <v>-1.498574899167191</v>
      </c>
      <c r="N487" s="304">
        <f t="shared" ca="1" si="220"/>
        <v>-85.862017006522947</v>
      </c>
      <c r="P487" s="310">
        <f t="shared" ca="1" si="221"/>
        <v>23</v>
      </c>
      <c r="Q487" s="304">
        <f t="shared" ca="1" si="222"/>
        <v>0</v>
      </c>
      <c r="R487" s="306">
        <f t="shared" ca="1" si="223"/>
        <v>0</v>
      </c>
      <c r="S487" s="307">
        <f t="shared" ca="1" si="224"/>
        <v>2.6792999999999987</v>
      </c>
      <c r="T487" s="304">
        <f t="shared" ca="1" si="204"/>
        <v>26.283932999999987</v>
      </c>
      <c r="U487" s="311">
        <f t="shared" ca="1" si="205"/>
        <v>0</v>
      </c>
      <c r="V487" s="306">
        <f t="shared" ca="1" si="206"/>
        <v>1.1887630020225444</v>
      </c>
      <c r="W487" s="304">
        <f t="shared" ca="1" si="207"/>
        <v>23.694075421701378</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0.96653023604411104</v>
      </c>
      <c r="AH487" s="304">
        <f t="shared" ca="1" si="231"/>
        <v>-8.8173811654924616</v>
      </c>
    </row>
    <row r="488" spans="1:34" x14ac:dyDescent="0.2">
      <c r="A488" s="347">
        <f t="shared" ca="1" si="209"/>
        <v>0.1</v>
      </c>
      <c r="B488" s="304">
        <f t="shared" ca="1" si="210"/>
        <v>33.600000000000165</v>
      </c>
      <c r="D488" s="306">
        <f t="shared" ca="1" si="211"/>
        <v>-0.63812665221928955</v>
      </c>
      <c r="E488" s="307">
        <f t="shared" ca="1" si="212"/>
        <v>-0.98967047280636322</v>
      </c>
      <c r="F488" s="304">
        <f t="shared" ca="1" si="213"/>
        <v>1.1775624268026594</v>
      </c>
      <c r="G488" s="306">
        <f t="shared" ca="1" si="214"/>
        <v>7.0552738370802457</v>
      </c>
      <c r="H488" s="307">
        <f t="shared" ca="1" si="215"/>
        <v>-98.500575355787731</v>
      </c>
      <c r="I488" s="304">
        <f t="shared" ca="1" si="216"/>
        <v>98.752925193826059</v>
      </c>
      <c r="J488" s="306">
        <f t="shared" ca="1" si="217"/>
        <v>693.22501532324259</v>
      </c>
      <c r="K488" s="307">
        <f t="shared" ca="1" si="218"/>
        <v>290.40804696419548</v>
      </c>
      <c r="L488" s="304">
        <f t="shared" ca="1" si="203"/>
        <v>751.5968038858789</v>
      </c>
      <c r="M488" s="306">
        <f t="shared" ca="1" si="219"/>
        <v>-1.4992917149138612</v>
      </c>
      <c r="N488" s="304">
        <f t="shared" ca="1" si="220"/>
        <v>-85.903087523495671</v>
      </c>
      <c r="P488" s="310">
        <f t="shared" ca="1" si="221"/>
        <v>23</v>
      </c>
      <c r="Q488" s="304">
        <f t="shared" ca="1" si="222"/>
        <v>0</v>
      </c>
      <c r="R488" s="306">
        <f t="shared" ca="1" si="223"/>
        <v>0</v>
      </c>
      <c r="S488" s="307">
        <f t="shared" ca="1" si="224"/>
        <v>2.6792999999999987</v>
      </c>
      <c r="T488" s="304">
        <f t="shared" ca="1" si="204"/>
        <v>26.283932999999987</v>
      </c>
      <c r="U488" s="311">
        <f t="shared" ca="1" si="205"/>
        <v>0</v>
      </c>
      <c r="V488" s="306">
        <f t="shared" ca="1" si="206"/>
        <v>1.1899341840038191</v>
      </c>
      <c r="W488" s="304">
        <f t="shared" ca="1" si="207"/>
        <v>23.762697974364269</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0.94104420192824101</v>
      </c>
      <c r="AH488" s="304">
        <f t="shared" ca="1" si="231"/>
        <v>-8.8433827573251929</v>
      </c>
    </row>
    <row r="489" spans="1:34" x14ac:dyDescent="0.2">
      <c r="A489" s="347">
        <f t="shared" ca="1" si="209"/>
        <v>0.1</v>
      </c>
      <c r="B489" s="304">
        <f t="shared" ca="1" si="210"/>
        <v>33.700000000000166</v>
      </c>
      <c r="D489" s="306">
        <f t="shared" ca="1" si="211"/>
        <v>-0.63363376219168388</v>
      </c>
      <c r="E489" s="307">
        <f t="shared" ca="1" si="212"/>
        <v>-0.96366864816654285</v>
      </c>
      <c r="F489" s="304">
        <f t="shared" ca="1" si="213"/>
        <v>1.1533208608398271</v>
      </c>
      <c r="G489" s="306">
        <f t="shared" ca="1" si="214"/>
        <v>6.9919104608610771</v>
      </c>
      <c r="H489" s="307">
        <f t="shared" ca="1" si="215"/>
        <v>-98.59694222060439</v>
      </c>
      <c r="I489" s="304">
        <f t="shared" ca="1" si="216"/>
        <v>98.844543739884301</v>
      </c>
      <c r="J489" s="306">
        <f t="shared" ca="1" si="217"/>
        <v>693.9273745381397</v>
      </c>
      <c r="K489" s="307">
        <f t="shared" ca="1" si="218"/>
        <v>280.55317108537588</v>
      </c>
      <c r="L489" s="304">
        <f t="shared" ca="1" si="203"/>
        <v>748.49534597047148</v>
      </c>
      <c r="M489" s="306">
        <f t="shared" ca="1" si="219"/>
        <v>-1.5000007704439871</v>
      </c>
      <c r="N489" s="304">
        <f t="shared" ca="1" si="220"/>
        <v>-85.943713412812301</v>
      </c>
      <c r="P489" s="310">
        <f t="shared" ca="1" si="221"/>
        <v>23</v>
      </c>
      <c r="Q489" s="304">
        <f t="shared" ca="1" si="222"/>
        <v>0</v>
      </c>
      <c r="R489" s="306">
        <f t="shared" ca="1" si="223"/>
        <v>0</v>
      </c>
      <c r="S489" s="307">
        <f t="shared" ca="1" si="224"/>
        <v>2.6792999999999987</v>
      </c>
      <c r="T489" s="304">
        <f t="shared" ca="1" si="204"/>
        <v>26.283932999999987</v>
      </c>
      <c r="U489" s="311">
        <f t="shared" ca="1" si="205"/>
        <v>0</v>
      </c>
      <c r="V489" s="306">
        <f t="shared" ca="1" si="206"/>
        <v>1.1911076666222717</v>
      </c>
      <c r="W489" s="304">
        <f t="shared" ca="1" si="207"/>
        <v>23.830288030528259</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0.91593698530473411</v>
      </c>
      <c r="AH489" s="304">
        <f t="shared" ca="1" si="231"/>
        <v>-8.8689948771560783</v>
      </c>
    </row>
    <row r="490" spans="1:34" x14ac:dyDescent="0.2">
      <c r="A490" s="347">
        <f t="shared" ca="1" si="209"/>
        <v>0.1</v>
      </c>
      <c r="B490" s="304">
        <f t="shared" ca="1" si="210"/>
        <v>33.800000000000168</v>
      </c>
      <c r="D490" s="306">
        <f t="shared" ca="1" si="211"/>
        <v>-0.62914551424032494</v>
      </c>
      <c r="E490" s="307">
        <f t="shared" ca="1" si="212"/>
        <v>-0.93805802317635312</v>
      </c>
      <c r="F490" s="304">
        <f t="shared" ca="1" si="213"/>
        <v>1.1295029583556877</v>
      </c>
      <c r="G490" s="306">
        <f t="shared" ca="1" si="214"/>
        <v>6.9289959094370444</v>
      </c>
      <c r="H490" s="307">
        <f t="shared" ca="1" si="215"/>
        <v>-98.690748022922023</v>
      </c>
      <c r="I490" s="304">
        <f t="shared" ca="1" si="216"/>
        <v>98.93368854761701</v>
      </c>
      <c r="J490" s="306">
        <f t="shared" ca="1" si="217"/>
        <v>694.62341985665466</v>
      </c>
      <c r="K490" s="307">
        <f t="shared" ca="1" si="218"/>
        <v>270.68878657319954</v>
      </c>
      <c r="L490" s="304">
        <f t="shared" ca="1" si="203"/>
        <v>745.50259194038051</v>
      </c>
      <c r="M490" s="306">
        <f t="shared" ca="1" si="219"/>
        <v>-1.5007021740571773</v>
      </c>
      <c r="N490" s="304">
        <f t="shared" ca="1" si="220"/>
        <v>-85.983900879583317</v>
      </c>
      <c r="P490" s="310">
        <f t="shared" ca="1" si="221"/>
        <v>23</v>
      </c>
      <c r="Q490" s="304">
        <f t="shared" ca="1" si="222"/>
        <v>0</v>
      </c>
      <c r="R490" s="306">
        <f t="shared" ca="1" si="223"/>
        <v>0</v>
      </c>
      <c r="S490" s="307">
        <f t="shared" ca="1" si="224"/>
        <v>2.6792999999999987</v>
      </c>
      <c r="T490" s="304">
        <f t="shared" ca="1" si="204"/>
        <v>26.283932999999987</v>
      </c>
      <c r="U490" s="311">
        <f t="shared" ca="1" si="205"/>
        <v>0</v>
      </c>
      <c r="V490" s="306">
        <f t="shared" ca="1" si="206"/>
        <v>1.1922834241555909</v>
      </c>
      <c r="W490" s="304">
        <f t="shared" ca="1" si="207"/>
        <v>23.896856628035017</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0.89120471677312629</v>
      </c>
      <c r="AH490" s="304">
        <f t="shared" ca="1" si="231"/>
        <v>-8.8942216364454403</v>
      </c>
    </row>
    <row r="491" spans="1:34" x14ac:dyDescent="0.2">
      <c r="A491" s="347">
        <f t="shared" ca="1" si="209"/>
        <v>0.1</v>
      </c>
      <c r="B491" s="304">
        <f t="shared" ca="1" si="210"/>
        <v>33.900000000000169</v>
      </c>
      <c r="D491" s="306">
        <f t="shared" ca="1" si="211"/>
        <v>-0.62466264767155544</v>
      </c>
      <c r="E491" s="307">
        <f t="shared" ca="1" si="212"/>
        <v>-0.91283441259912124</v>
      </c>
      <c r="F491" s="304">
        <f t="shared" ca="1" si="213"/>
        <v>1.1061058214389889</v>
      </c>
      <c r="G491" s="306">
        <f t="shared" ca="1" si="214"/>
        <v>6.8665296446698889</v>
      </c>
      <c r="H491" s="307">
        <f t="shared" ca="1" si="215"/>
        <v>-98.782031464181941</v>
      </c>
      <c r="I491" s="304">
        <f t="shared" ca="1" si="216"/>
        <v>99.020396734974554</v>
      </c>
      <c r="J491" s="306">
        <f t="shared" ca="1" si="217"/>
        <v>695.31319613436006</v>
      </c>
      <c r="K491" s="307">
        <f t="shared" ca="1" si="218"/>
        <v>260.81514759884436</v>
      </c>
      <c r="L491" s="304">
        <f t="shared" ca="1" si="203"/>
        <v>742.62034845241487</v>
      </c>
      <c r="M491" s="306">
        <f t="shared" ca="1" si="219"/>
        <v>-1.5013960318718194</v>
      </c>
      <c r="N491" s="304">
        <f t="shared" ca="1" si="220"/>
        <v>-86.023656003944481</v>
      </c>
      <c r="P491" s="310">
        <f t="shared" ca="1" si="221"/>
        <v>23</v>
      </c>
      <c r="Q491" s="304">
        <f t="shared" ca="1" si="222"/>
        <v>0</v>
      </c>
      <c r="R491" s="306">
        <f t="shared" ca="1" si="223"/>
        <v>0</v>
      </c>
      <c r="S491" s="307">
        <f t="shared" ca="1" si="224"/>
        <v>2.6792999999999987</v>
      </c>
      <c r="T491" s="304">
        <f t="shared" ca="1" si="204"/>
        <v>26.283932999999987</v>
      </c>
      <c r="U491" s="311">
        <f t="shared" ca="1" si="205"/>
        <v>0</v>
      </c>
      <c r="V491" s="306">
        <f t="shared" ca="1" si="206"/>
        <v>1.1934614312424199</v>
      </c>
      <c r="W491" s="304">
        <f t="shared" ca="1" si="207"/>
        <v>23.962414820999886</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0.8668435123461613</v>
      </c>
      <c r="AH491" s="304">
        <f t="shared" ca="1" si="231"/>
        <v>-8.9190671548669531</v>
      </c>
    </row>
    <row r="492" spans="1:34" x14ac:dyDescent="0.2">
      <c r="A492" s="347">
        <f t="shared" ca="1" si="209"/>
        <v>0.1</v>
      </c>
      <c r="B492" s="304">
        <f t="shared" ca="1" si="210"/>
        <v>34.000000000000171</v>
      </c>
      <c r="D492" s="306">
        <f t="shared" ca="1" si="211"/>
        <v>-0.62018588152788223</v>
      </c>
      <c r="E492" s="307">
        <f t="shared" ca="1" si="212"/>
        <v>-0.88799362516640201</v>
      </c>
      <c r="F492" s="304">
        <f t="shared" ca="1" si="213"/>
        <v>1.0831265881616445</v>
      </c>
      <c r="G492" s="306">
        <f t="shared" ca="1" si="214"/>
        <v>6.804511056517101</v>
      </c>
      <c r="H492" s="307">
        <f t="shared" ca="1" si="215"/>
        <v>-98.87083082669858</v>
      </c>
      <c r="I492" s="304">
        <f t="shared" ca="1" si="216"/>
        <v>99.104705029982881</v>
      </c>
      <c r="J492" s="306">
        <f t="shared" ca="1" si="217"/>
        <v>695.99674816941945</v>
      </c>
      <c r="K492" s="307">
        <f t="shared" ca="1" si="218"/>
        <v>250.93250448430032</v>
      </c>
      <c r="L492" s="304">
        <f t="shared" ca="1" si="203"/>
        <v>739.85038708455761</v>
      </c>
      <c r="M492" s="306">
        <f t="shared" ca="1" si="219"/>
        <v>-1.5020824478835375</v>
      </c>
      <c r="N492" s="304">
        <f t="shared" ca="1" si="220"/>
        <v>-86.062984744406137</v>
      </c>
      <c r="P492" s="310">
        <f t="shared" ca="1" si="221"/>
        <v>23</v>
      </c>
      <c r="Q492" s="304">
        <f t="shared" ca="1" si="222"/>
        <v>0</v>
      </c>
      <c r="R492" s="306">
        <f t="shared" ca="1" si="223"/>
        <v>0</v>
      </c>
      <c r="S492" s="307">
        <f t="shared" ca="1" si="224"/>
        <v>2.6792999999999987</v>
      </c>
      <c r="T492" s="304">
        <f t="shared" ca="1" si="204"/>
        <v>26.283932999999987</v>
      </c>
      <c r="U492" s="311">
        <f t="shared" ca="1" si="205"/>
        <v>0</v>
      </c>
      <c r="V492" s="306">
        <f t="shared" ca="1" si="206"/>
        <v>1.1946416628789616</v>
      </c>
      <c r="W492" s="304">
        <f t="shared" ca="1" si="207"/>
        <v>24.026973674277826</v>
      </c>
      <c r="Y492" s="314" t="str">
        <f t="shared" ca="1" si="225"/>
        <v/>
      </c>
      <c r="Z492" s="315" t="str">
        <f t="shared" ca="1" si="226"/>
        <v/>
      </c>
      <c r="AA492" s="316" t="str">
        <f t="shared" ca="1" si="227"/>
        <v/>
      </c>
      <c r="AC492" s="310">
        <f t="shared" ca="1" si="228"/>
        <v>34.000000000000171</v>
      </c>
      <c r="AD492" s="323">
        <f t="shared" ca="1" si="229"/>
        <v>695.99674816941945</v>
      </c>
      <c r="AE492" s="324" t="e">
        <f t="shared" ca="1" si="208"/>
        <v>#N/A</v>
      </c>
      <c r="AG492" s="306">
        <f t="shared" ca="1" si="230"/>
        <v>0.84284947578870906</v>
      </c>
      <c r="AH492" s="304">
        <f t="shared" ca="1" si="231"/>
        <v>-8.9435355581681399</v>
      </c>
    </row>
    <row r="493" spans="1:34" x14ac:dyDescent="0.2">
      <c r="A493" s="347">
        <f t="shared" ca="1" si="209"/>
        <v>0.1</v>
      </c>
      <c r="B493" s="304">
        <f t="shared" ca="1" si="210"/>
        <v>34.100000000000172</v>
      </c>
      <c r="D493" s="306">
        <f t="shared" ca="1" si="211"/>
        <v>-0.61571591489233668</v>
      </c>
      <c r="E493" s="307">
        <f t="shared" ca="1" si="212"/>
        <v>-0.86353146567069849</v>
      </c>
      <c r="F493" s="304">
        <f t="shared" ca="1" si="213"/>
        <v>1.0605624357175263</v>
      </c>
      <c r="G493" s="306">
        <f t="shared" ca="1" si="214"/>
        <v>6.7429394650278676</v>
      </c>
      <c r="H493" s="307">
        <f t="shared" ca="1" si="215"/>
        <v>-98.957183973265643</v>
      </c>
      <c r="I493" s="304">
        <f t="shared" ca="1" si="216"/>
        <v>99.186649769753657</v>
      </c>
      <c r="J493" s="306">
        <f t="shared" ca="1" si="217"/>
        <v>696.67412069549664</v>
      </c>
      <c r="K493" s="307">
        <f t="shared" ca="1" si="218"/>
        <v>241.04110374430212</v>
      </c>
      <c r="L493" s="304">
        <f t="shared" ca="1" si="203"/>
        <v>737.19444120334686</v>
      </c>
      <c r="M493" s="306">
        <f t="shared" ca="1" si="219"/>
        <v>-1.5027615240217937</v>
      </c>
      <c r="N493" s="304">
        <f t="shared" ca="1" si="220"/>
        <v>-86.101892941096253</v>
      </c>
      <c r="P493" s="310">
        <f t="shared" ca="1" si="221"/>
        <v>23</v>
      </c>
      <c r="Q493" s="304">
        <f t="shared" ca="1" si="222"/>
        <v>0</v>
      </c>
      <c r="R493" s="306">
        <f t="shared" ca="1" si="223"/>
        <v>0</v>
      </c>
      <c r="S493" s="307">
        <f t="shared" ca="1" si="224"/>
        <v>2.6792999999999987</v>
      </c>
      <c r="T493" s="304">
        <f t="shared" ca="1" si="204"/>
        <v>26.283932999999987</v>
      </c>
      <c r="U493" s="311">
        <f t="shared" ca="1" si="205"/>
        <v>0</v>
      </c>
      <c r="V493" s="306">
        <f t="shared" ca="1" si="206"/>
        <v>1.1958240944155638</v>
      </c>
      <c r="W493" s="304">
        <f t="shared" ca="1" si="207"/>
        <v>24.090544258123817</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0.8192187008753784</v>
      </c>
      <c r="AH493" s="304">
        <f t="shared" ca="1" si="231"/>
        <v>-8.9676309761048927</v>
      </c>
    </row>
    <row r="494" spans="1:34" x14ac:dyDescent="0.2">
      <c r="A494" s="347">
        <f t="shared" ca="1" si="209"/>
        <v>0.1</v>
      </c>
      <c r="B494" s="304">
        <f t="shared" ca="1" si="210"/>
        <v>34.200000000000173</v>
      </c>
      <c r="D494" s="306">
        <f t="shared" ca="1" si="211"/>
        <v>-0.61125342719413778</v>
      </c>
      <c r="E494" s="307">
        <f t="shared" ca="1" si="212"/>
        <v>-0.83944373698461128</v>
      </c>
      <c r="F494" s="304">
        <f t="shared" ca="1" si="213"/>
        <v>1.038410583449181</v>
      </c>
      <c r="G494" s="306">
        <f t="shared" ca="1" si="214"/>
        <v>6.6818141223084542</v>
      </c>
      <c r="H494" s="307">
        <f t="shared" ca="1" si="215"/>
        <v>-99.041128346964101</v>
      </c>
      <c r="I494" s="304">
        <f t="shared" ca="1" si="216"/>
        <v>99.266266899712193</v>
      </c>
      <c r="J494" s="306">
        <f t="shared" ca="1" si="217"/>
        <v>697.34535837486351</v>
      </c>
      <c r="K494" s="307">
        <f t="shared" ca="1" si="218"/>
        <v>231.14118812829062</v>
      </c>
      <c r="L494" s="304">
        <f t="shared" ca="1" si="203"/>
        <v>734.65420280314515</v>
      </c>
      <c r="M494" s="306">
        <f t="shared" ca="1" si="219"/>
        <v>-1.5034333602046956</v>
      </c>
      <c r="N494" s="304">
        <f t="shared" ca="1" si="220"/>
        <v>-86.140386318900724</v>
      </c>
      <c r="P494" s="310">
        <f t="shared" ca="1" si="221"/>
        <v>23</v>
      </c>
      <c r="Q494" s="304">
        <f t="shared" ca="1" si="222"/>
        <v>0</v>
      </c>
      <c r="R494" s="306">
        <f t="shared" ca="1" si="223"/>
        <v>0</v>
      </c>
      <c r="S494" s="307">
        <f t="shared" ca="1" si="224"/>
        <v>2.6792999999999987</v>
      </c>
      <c r="T494" s="304">
        <f t="shared" ca="1" si="204"/>
        <v>26.283932999999987</v>
      </c>
      <c r="U494" s="311">
        <f t="shared" ca="1" si="205"/>
        <v>0</v>
      </c>
      <c r="V494" s="306">
        <f t="shared" ca="1" si="206"/>
        <v>1.1970087015532955</v>
      </c>
      <c r="W494" s="304">
        <f t="shared" ca="1" si="207"/>
        <v>24.153137643044477</v>
      </c>
      <c r="Y494" s="314" t="str">
        <f t="shared" ca="1" si="225"/>
        <v/>
      </c>
      <c r="Z494" s="315" t="str">
        <f t="shared" ca="1" si="226"/>
        <v/>
      </c>
      <c r="AA494" s="316" t="str">
        <f t="shared" ca="1" si="227"/>
        <v/>
      </c>
      <c r="AC494" s="310" t="e">
        <f t="shared" ca="1" si="228"/>
        <v>#N/A</v>
      </c>
      <c r="AD494" s="323" t="e">
        <f t="shared" ca="1" si="229"/>
        <v>#N/A</v>
      </c>
      <c r="AE494" s="324" t="e">
        <f t="shared" ca="1" si="208"/>
        <v>#N/A</v>
      </c>
      <c r="AG494" s="306">
        <f t="shared" ca="1" si="230"/>
        <v>0.79594727356851713</v>
      </c>
      <c r="AH494" s="304">
        <f t="shared" ca="1" si="231"/>
        <v>-8.9913575404485613</v>
      </c>
    </row>
    <row r="495" spans="1:34" x14ac:dyDescent="0.2">
      <c r="A495" s="347">
        <f t="shared" ca="1" si="209"/>
        <v>0.1</v>
      </c>
      <c r="B495" s="304">
        <f t="shared" ca="1" si="210"/>
        <v>34.300000000000175</v>
      </c>
      <c r="D495" s="306">
        <f t="shared" ca="1" si="211"/>
        <v>-0.60679907851538395</v>
      </c>
      <c r="E495" s="307">
        <f t="shared" ca="1" si="212"/>
        <v>-0.81572624200763322</v>
      </c>
      <c r="F495" s="304">
        <f t="shared" ca="1" si="213"/>
        <v>1.0166682957518716</v>
      </c>
      <c r="G495" s="306">
        <f t="shared" ca="1" si="214"/>
        <v>6.6211342144569159</v>
      </c>
      <c r="H495" s="307">
        <f t="shared" ca="1" si="215"/>
        <v>-99.122700971164861</v>
      </c>
      <c r="I495" s="304">
        <f t="shared" ca="1" si="216"/>
        <v>99.343591973034776</v>
      </c>
      <c r="J495" s="306">
        <f t="shared" ca="1" si="217"/>
        <v>698.0105057917018</v>
      </c>
      <c r="K495" s="307">
        <f t="shared" ca="1" si="218"/>
        <v>221.23299666238418</v>
      </c>
      <c r="L495" s="304">
        <f t="shared" ca="1" si="203"/>
        <v>732.23131933003651</v>
      </c>
      <c r="M495" s="306">
        <f t="shared" ca="1" si="219"/>
        <v>-1.5040980543920781</v>
      </c>
      <c r="N495" s="304">
        <f t="shared" ca="1" si="220"/>
        <v>-86.178470490504608</v>
      </c>
      <c r="P495" s="310">
        <f t="shared" ca="1" si="221"/>
        <v>23</v>
      </c>
      <c r="Q495" s="304">
        <f t="shared" ca="1" si="222"/>
        <v>0</v>
      </c>
      <c r="R495" s="306">
        <f t="shared" ca="1" si="223"/>
        <v>0</v>
      </c>
      <c r="S495" s="307">
        <f t="shared" ca="1" si="224"/>
        <v>2.6792999999999987</v>
      </c>
      <c r="T495" s="304">
        <f t="shared" ca="1" si="204"/>
        <v>26.283932999999987</v>
      </c>
      <c r="U495" s="311">
        <f t="shared" ca="1" si="205"/>
        <v>0</v>
      </c>
      <c r="V495" s="306">
        <f t="shared" ca="1" si="206"/>
        <v>1.1981954603405094</v>
      </c>
      <c r="W495" s="304">
        <f t="shared" ca="1" si="207"/>
        <v>24.214764894836726</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0.7730312741181482</v>
      </c>
      <c r="AH495" s="304">
        <f t="shared" ca="1" si="231"/>
        <v>-9.0147193830644152</v>
      </c>
    </row>
    <row r="496" spans="1:34" x14ac:dyDescent="0.2">
      <c r="A496" s="347">
        <f t="shared" ca="1" si="209"/>
        <v>0.1</v>
      </c>
      <c r="B496" s="304">
        <f t="shared" ca="1" si="210"/>
        <v>34.400000000000176</v>
      </c>
      <c r="D496" s="306">
        <f t="shared" ca="1" si="211"/>
        <v>-0.60235350989845304</v>
      </c>
      <c r="E496" s="307">
        <f t="shared" ca="1" si="212"/>
        <v>-0.79237478554218121</v>
      </c>
      <c r="F496" s="304">
        <f t="shared" ca="1" si="213"/>
        <v>0.9953328848430576</v>
      </c>
      <c r="G496" s="306">
        <f t="shared" ca="1" si="214"/>
        <v>6.5608988634670702</v>
      </c>
      <c r="H496" s="307">
        <f t="shared" ca="1" si="215"/>
        <v>-99.20193844971908</v>
      </c>
      <c r="I496" s="304">
        <f t="shared" ca="1" si="216"/>
        <v>99.418660150288176</v>
      </c>
      <c r="J496" s="306">
        <f t="shared" ca="1" si="217"/>
        <v>698.66960744559799</v>
      </c>
      <c r="K496" s="307">
        <f t="shared" ca="1" si="218"/>
        <v>211.31676469133998</v>
      </c>
      <c r="L496" s="304">
        <f t="shared" ca="1" si="203"/>
        <v>729.9273905038782</v>
      </c>
      <c r="M496" s="306">
        <f t="shared" ca="1" si="219"/>
        <v>-1.50475570263692</v>
      </c>
      <c r="N496" s="304">
        <f t="shared" ca="1" si="220"/>
        <v>-86.216150959338236</v>
      </c>
      <c r="P496" s="310">
        <f t="shared" ca="1" si="221"/>
        <v>23</v>
      </c>
      <c r="Q496" s="304">
        <f t="shared" ca="1" si="222"/>
        <v>0</v>
      </c>
      <c r="R496" s="306">
        <f t="shared" ca="1" si="223"/>
        <v>0</v>
      </c>
      <c r="S496" s="307">
        <f t="shared" ca="1" si="224"/>
        <v>2.6792999999999987</v>
      </c>
      <c r="T496" s="304">
        <f t="shared" ca="1" si="204"/>
        <v>26.283932999999987</v>
      </c>
      <c r="U496" s="311">
        <f t="shared" ca="1" si="205"/>
        <v>0</v>
      </c>
      <c r="V496" s="306">
        <f t="shared" ca="1" si="206"/>
        <v>1.1993843471693921</v>
      </c>
      <c r="W496" s="304">
        <f t="shared" ca="1" si="207"/>
        <v>24.275437069810064</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0.75046677908564341</v>
      </c>
      <c r="AH496" s="304">
        <f t="shared" ca="1" si="231"/>
        <v>-9.0377206340599177</v>
      </c>
    </row>
    <row r="497" spans="1:34" x14ac:dyDescent="0.2">
      <c r="A497" s="347">
        <f t="shared" ca="1" si="209"/>
        <v>0.1</v>
      </c>
      <c r="B497" s="304">
        <f t="shared" ca="1" si="210"/>
        <v>34.500000000000178</v>
      </c>
      <c r="D497" s="306">
        <f t="shared" ca="1" si="211"/>
        <v>-0.59791734365384108</v>
      </c>
      <c r="E497" s="307">
        <f t="shared" ca="1" si="212"/>
        <v>-0.76938517610017598</v>
      </c>
      <c r="F497" s="304">
        <f t="shared" ca="1" si="213"/>
        <v>0.97440171338353276</v>
      </c>
      <c r="G497" s="306">
        <f t="shared" ca="1" si="214"/>
        <v>6.501107129101686</v>
      </c>
      <c r="H497" s="307">
        <f t="shared" ca="1" si="215"/>
        <v>-99.278876967329097</v>
      </c>
      <c r="I497" s="304">
        <f t="shared" ca="1" si="216"/>
        <v>99.491506199263696</v>
      </c>
      <c r="J497" s="306">
        <f t="shared" ca="1" si="217"/>
        <v>699.32270774522647</v>
      </c>
      <c r="K497" s="307">
        <f t="shared" ca="1" si="218"/>
        <v>201.39272392048758</v>
      </c>
      <c r="L497" s="304">
        <f t="shared" ca="1" si="203"/>
        <v>727.74396515273781</v>
      </c>
      <c r="M497" s="306">
        <f t="shared" ca="1" si="219"/>
        <v>-1.5054063991351552</v>
      </c>
      <c r="N497" s="304">
        <f t="shared" ca="1" si="220"/>
        <v>-86.253433122431048</v>
      </c>
      <c r="P497" s="310">
        <f t="shared" ca="1" si="221"/>
        <v>23</v>
      </c>
      <c r="Q497" s="304">
        <f t="shared" ca="1" si="222"/>
        <v>0</v>
      </c>
      <c r="R497" s="306">
        <f t="shared" ca="1" si="223"/>
        <v>0</v>
      </c>
      <c r="S497" s="307">
        <f t="shared" ca="1" si="224"/>
        <v>2.6792999999999987</v>
      </c>
      <c r="T497" s="304">
        <f t="shared" ca="1" si="204"/>
        <v>26.283932999999987</v>
      </c>
      <c r="U497" s="311">
        <f t="shared" ca="1" si="205"/>
        <v>0</v>
      </c>
      <c r="V497" s="306">
        <f t="shared" ca="1" si="206"/>
        <v>1.2005753387725124</v>
      </c>
      <c r="W497" s="304">
        <f t="shared" ca="1" si="207"/>
        <v>24.335165210188649</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0.72824986329269237</v>
      </c>
      <c r="AH497" s="304">
        <f t="shared" ca="1" si="231"/>
        <v>-9.0603654200015207</v>
      </c>
    </row>
    <row r="498" spans="1:34" x14ac:dyDescent="0.2">
      <c r="A498" s="347">
        <f t="shared" ca="1" si="209"/>
        <v>0.1</v>
      </c>
      <c r="B498" s="304">
        <f t="shared" ca="1" si="210"/>
        <v>34.600000000000179</v>
      </c>
      <c r="D498" s="306">
        <f t="shared" ca="1" si="211"/>
        <v>-0.5934911836681751</v>
      </c>
      <c r="E498" s="307">
        <f t="shared" ca="1" si="212"/>
        <v>-0.74675322764155005</v>
      </c>
      <c r="F498" s="304">
        <f t="shared" ca="1" si="213"/>
        <v>0.95387219693464398</v>
      </c>
      <c r="G498" s="306">
        <f t="shared" ca="1" si="214"/>
        <v>6.4417580107348682</v>
      </c>
      <c r="H498" s="307">
        <f t="shared" ca="1" si="215"/>
        <v>-99.353552290093248</v>
      </c>
      <c r="I498" s="304">
        <f t="shared" ca="1" si="216"/>
        <v>99.562164494998598</v>
      </c>
      <c r="J498" s="306">
        <f t="shared" ca="1" si="217"/>
        <v>699.96985100221832</v>
      </c>
      <c r="K498" s="307">
        <f t="shared" ca="1" si="218"/>
        <v>191.46110245761648</v>
      </c>
      <c r="L498" s="304">
        <f t="shared" ca="1" si="203"/>
        <v>725.68253807457268</v>
      </c>
      <c r="M498" s="306">
        <f t="shared" ca="1" si="219"/>
        <v>-1.506050236273933</v>
      </c>
      <c r="N498" s="304">
        <f t="shared" ca="1" si="220"/>
        <v>-86.290322273176798</v>
      </c>
      <c r="P498" s="310">
        <f t="shared" ca="1" si="221"/>
        <v>23</v>
      </c>
      <c r="Q498" s="304">
        <f t="shared" ca="1" si="222"/>
        <v>0</v>
      </c>
      <c r="R498" s="306">
        <f t="shared" ca="1" si="223"/>
        <v>0</v>
      </c>
      <c r="S498" s="307">
        <f t="shared" ca="1" si="224"/>
        <v>2.6792999999999987</v>
      </c>
      <c r="T498" s="304">
        <f t="shared" ca="1" si="204"/>
        <v>26.283932999999987</v>
      </c>
      <c r="U498" s="311">
        <f t="shared" ca="1" si="205"/>
        <v>0</v>
      </c>
      <c r="V498" s="306">
        <f t="shared" ca="1" si="206"/>
        <v>1.2017684122193584</v>
      </c>
      <c r="W498" s="304">
        <f t="shared" ca="1" si="207"/>
        <v>24.39396033968945</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0.70637660169725258</v>
      </c>
      <c r="AH498" s="304">
        <f t="shared" ca="1" si="231"/>
        <v>-9.0826578621985821</v>
      </c>
    </row>
    <row r="499" spans="1:34" x14ac:dyDescent="0.2">
      <c r="A499" s="347">
        <f t="shared" ca="1" si="209"/>
        <v>0.1</v>
      </c>
      <c r="B499" s="304">
        <f t="shared" ca="1" si="210"/>
        <v>34.70000000000018</v>
      </c>
      <c r="D499" s="306">
        <f t="shared" ca="1" si="211"/>
        <v>-0.58907561571215206</v>
      </c>
      <c r="E499" s="307">
        <f t="shared" ca="1" si="212"/>
        <v>-0.72447476124619214</v>
      </c>
      <c r="F499" s="304">
        <f t="shared" ca="1" si="213"/>
        <v>0.93374180623413128</v>
      </c>
      <c r="G499" s="306">
        <f t="shared" ca="1" si="214"/>
        <v>6.3828504491636533</v>
      </c>
      <c r="H499" s="307">
        <f t="shared" ca="1" si="215"/>
        <v>-99.425999766217871</v>
      </c>
      <c r="I499" s="304">
        <f t="shared" ca="1" si="216"/>
        <v>99.630669019977702</v>
      </c>
      <c r="J499" s="306">
        <f t="shared" ca="1" si="217"/>
        <v>700.61108142521323</v>
      </c>
      <c r="K499" s="307">
        <f t="shared" ca="1" si="218"/>
        <v>181.52212485480092</v>
      </c>
      <c r="L499" s="304">
        <f t="shared" ca="1" si="203"/>
        <v>723.74454694153565</v>
      </c>
      <c r="M499" s="306">
        <f t="shared" ca="1" si="219"/>
        <v>-1.5066873046783873</v>
      </c>
      <c r="N499" s="304">
        <f t="shared" ca="1" si="220"/>
        <v>-86.326823604013171</v>
      </c>
      <c r="P499" s="310">
        <f t="shared" ca="1" si="221"/>
        <v>23</v>
      </c>
      <c r="Q499" s="304">
        <f t="shared" ca="1" si="222"/>
        <v>0</v>
      </c>
      <c r="R499" s="306">
        <f t="shared" ca="1" si="223"/>
        <v>0</v>
      </c>
      <c r="S499" s="307">
        <f t="shared" ca="1" si="224"/>
        <v>2.6792999999999987</v>
      </c>
      <c r="T499" s="304">
        <f t="shared" ca="1" si="204"/>
        <v>26.283932999999987</v>
      </c>
      <c r="U499" s="311">
        <f t="shared" ca="1" si="205"/>
        <v>0</v>
      </c>
      <c r="V499" s="306">
        <f t="shared" ca="1" si="206"/>
        <v>1.2029635449128713</v>
      </c>
      <c r="W499" s="304">
        <f t="shared" ca="1" si="207"/>
        <v>24.451833459272628</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0.68484307119808641</v>
      </c>
      <c r="AH499" s="304">
        <f t="shared" ca="1" si="231"/>
        <v>-9.1046020750529841</v>
      </c>
    </row>
    <row r="500" spans="1:34" x14ac:dyDescent="0.2">
      <c r="A500" s="347">
        <f t="shared" ca="1" si="209"/>
        <v>0.1</v>
      </c>
      <c r="B500" s="304">
        <f t="shared" ca="1" si="210"/>
        <v>34.800000000000182</v>
      </c>
      <c r="D500" s="306">
        <f t="shared" ca="1" si="211"/>
        <v>-0.5846712077481353</v>
      </c>
      <c r="E500" s="307">
        <f t="shared" ca="1" si="212"/>
        <v>-0.70254560672067434</v>
      </c>
      <c r="F500" s="304">
        <f t="shared" ca="1" si="213"/>
        <v>0.91400806927082634</v>
      </c>
      <c r="G500" s="306">
        <f t="shared" ca="1" si="214"/>
        <v>6.3243833283888398</v>
      </c>
      <c r="H500" s="307">
        <f t="shared" ca="1" si="215"/>
        <v>-99.49625432688994</v>
      </c>
      <c r="I500" s="304">
        <f t="shared" ca="1" si="216"/>
        <v>99.697053364508051</v>
      </c>
      <c r="J500" s="306">
        <f t="shared" ca="1" si="217"/>
        <v>701.24644311409088</v>
      </c>
      <c r="K500" s="307">
        <f t="shared" ca="1" si="218"/>
        <v>171.57601215014552</v>
      </c>
      <c r="L500" s="304">
        <f t="shared" ca="1" si="203"/>
        <v>721.93136926269574</v>
      </c>
      <c r="M500" s="306">
        <f t="shared" ca="1" si="219"/>
        <v>-1.507317693256961</v>
      </c>
      <c r="N500" s="304">
        <f t="shared" ca="1" si="220"/>
        <v>-86.362942209018684</v>
      </c>
      <c r="P500" s="310">
        <f t="shared" ca="1" si="221"/>
        <v>23</v>
      </c>
      <c r="Q500" s="304">
        <f t="shared" ca="1" si="222"/>
        <v>0</v>
      </c>
      <c r="R500" s="306">
        <f t="shared" ca="1" si="223"/>
        <v>0</v>
      </c>
      <c r="S500" s="307">
        <f t="shared" ca="1" si="224"/>
        <v>2.6792999999999987</v>
      </c>
      <c r="T500" s="304">
        <f t="shared" ca="1" si="204"/>
        <v>26.283932999999987</v>
      </c>
      <c r="U500" s="311">
        <f t="shared" ca="1" si="205"/>
        <v>0</v>
      </c>
      <c r="V500" s="306">
        <f t="shared" ca="1" si="206"/>
        <v>1.2041607145859772</v>
      </c>
      <c r="W500" s="304">
        <f t="shared" ca="1" si="207"/>
        <v>24.508795543060508</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0.66364535236956712</v>
      </c>
      <c r="AH500" s="304">
        <f t="shared" ca="1" si="231"/>
        <v>-9.1262021644730495</v>
      </c>
    </row>
    <row r="501" spans="1:34" x14ac:dyDescent="0.2">
      <c r="A501" s="347">
        <f t="shared" ca="1" si="209"/>
        <v>0.1</v>
      </c>
      <c r="B501" s="304">
        <f t="shared" ca="1" si="210"/>
        <v>34.900000000000183</v>
      </c>
      <c r="D501" s="306">
        <f t="shared" ca="1" si="211"/>
        <v>-0.58027851023721611</v>
      </c>
      <c r="E501" s="307">
        <f t="shared" ca="1" si="212"/>
        <v>-0.68096160414123652</v>
      </c>
      <c r="F501" s="304">
        <f t="shared" ca="1" si="213"/>
        <v>0.89466857313629222</v>
      </c>
      <c r="G501" s="306">
        <f t="shared" ca="1" si="214"/>
        <v>6.266355477365118</v>
      </c>
      <c r="H501" s="307">
        <f t="shared" ca="1" si="215"/>
        <v>-99.564350487304068</v>
      </c>
      <c r="I501" s="304">
        <f t="shared" ca="1" si="216"/>
        <v>99.76135072726025</v>
      </c>
      <c r="J501" s="306">
        <f t="shared" ca="1" si="217"/>
        <v>701.8759800543786</v>
      </c>
      <c r="K501" s="307">
        <f t="shared" ca="1" si="218"/>
        <v>161.62298190943582</v>
      </c>
      <c r="L501" s="304">
        <f t="shared" ca="1" si="203"/>
        <v>720.24431942125875</v>
      </c>
      <c r="M501" s="306">
        <f t="shared" ca="1" si="219"/>
        <v>-1.5079414892453415</v>
      </c>
      <c r="N501" s="304">
        <f t="shared" ca="1" si="220"/>
        <v>-86.398683086430083</v>
      </c>
      <c r="P501" s="310">
        <f t="shared" ca="1" si="221"/>
        <v>23</v>
      </c>
      <c r="Q501" s="304">
        <f t="shared" ca="1" si="222"/>
        <v>0</v>
      </c>
      <c r="R501" s="306">
        <f t="shared" ca="1" si="223"/>
        <v>0</v>
      </c>
      <c r="S501" s="307">
        <f t="shared" ca="1" si="224"/>
        <v>2.6792999999999987</v>
      </c>
      <c r="T501" s="304">
        <f t="shared" ca="1" si="204"/>
        <v>26.283932999999987</v>
      </c>
      <c r="U501" s="311">
        <f t="shared" ca="1" si="205"/>
        <v>0</v>
      </c>
      <c r="V501" s="306">
        <f t="shared" ca="1" si="206"/>
        <v>1.205359899298116</v>
      </c>
      <c r="W501" s="304">
        <f t="shared" ca="1" si="207"/>
        <v>24.564857534421368</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0.64277953112835107</v>
      </c>
      <c r="AH501" s="304">
        <f t="shared" ca="1" si="231"/>
        <v>-9.1474622263503598</v>
      </c>
    </row>
    <row r="502" spans="1:34" x14ac:dyDescent="0.2">
      <c r="A502" s="347">
        <f t="shared" ca="1" si="209"/>
        <v>0.1</v>
      </c>
      <c r="B502" s="304">
        <f t="shared" ca="1" si="210"/>
        <v>35.000000000000185</v>
      </c>
      <c r="D502" s="306">
        <f t="shared" ca="1" si="211"/>
        <v>-0.57589805644548053</v>
      </c>
      <c r="E502" s="307">
        <f t="shared" ca="1" si="212"/>
        <v>-0.65971860533437443</v>
      </c>
      <c r="F502" s="304">
        <f t="shared" ca="1" si="213"/>
        <v>0.87572096562890056</v>
      </c>
      <c r="G502" s="306">
        <f t="shared" ca="1" si="214"/>
        <v>6.2087656717205704</v>
      </c>
      <c r="H502" s="307">
        <f t="shared" ca="1" si="215"/>
        <v>-99.630322347837506</v>
      </c>
      <c r="I502" s="304">
        <f t="shared" ca="1" si="216"/>
        <v>99.823593915969312</v>
      </c>
      <c r="J502" s="306">
        <f t="shared" ca="1" si="217"/>
        <v>702.49973611183293</v>
      </c>
      <c r="K502" s="307">
        <f t="shared" ca="1" si="218"/>
        <v>151.66324826767874</v>
      </c>
      <c r="L502" s="304">
        <f t="shared" ca="1" si="203"/>
        <v>718.68464580252339</v>
      </c>
      <c r="M502" s="306">
        <f t="shared" ca="1" si="219"/>
        <v>-1.5085587782490513</v>
      </c>
      <c r="N502" s="304">
        <f t="shared" ca="1" si="220"/>
        <v>-86.434051141082492</v>
      </c>
      <c r="P502" s="310">
        <f t="shared" ca="1" si="221"/>
        <v>23</v>
      </c>
      <c r="Q502" s="304">
        <f t="shared" ca="1" si="222"/>
        <v>0</v>
      </c>
      <c r="R502" s="306">
        <f t="shared" ca="1" si="223"/>
        <v>0</v>
      </c>
      <c r="S502" s="307">
        <f t="shared" ca="1" si="224"/>
        <v>2.6792999999999987</v>
      </c>
      <c r="T502" s="304">
        <f t="shared" ca="1" si="204"/>
        <v>26.283932999999987</v>
      </c>
      <c r="U502" s="311">
        <f t="shared" ca="1" si="205"/>
        <v>0</v>
      </c>
      <c r="V502" s="306">
        <f t="shared" ca="1" si="206"/>
        <v>1.2065610774317719</v>
      </c>
      <c r="W502" s="304">
        <f t="shared" ca="1" si="207"/>
        <v>24.6200303422142</v>
      </c>
      <c r="Y502" s="314" t="str">
        <f t="shared" ca="1" si="225"/>
        <v/>
      </c>
      <c r="Z502" s="315" t="str">
        <f t="shared" ca="1" si="226"/>
        <v/>
      </c>
      <c r="AA502" s="316" t="str">
        <f t="shared" ca="1" si="227"/>
        <v/>
      </c>
      <c r="AC502" s="310">
        <f t="shared" ca="1" si="228"/>
        <v>35.000000000000185</v>
      </c>
      <c r="AD502" s="323">
        <f t="shared" ca="1" si="229"/>
        <v>702.49973611183293</v>
      </c>
      <c r="AE502" s="324" t="e">
        <f t="shared" ca="1" si="208"/>
        <v>#N/A</v>
      </c>
      <c r="AG502" s="306">
        <f t="shared" ca="1" si="230"/>
        <v>0.62224170033348969</v>
      </c>
      <c r="AH502" s="304">
        <f t="shared" ca="1" si="231"/>
        <v>-9.1683863450981153</v>
      </c>
    </row>
    <row r="503" spans="1:34" x14ac:dyDescent="0.2">
      <c r="A503" s="347">
        <f t="shared" ca="1" si="209"/>
        <v>0.1</v>
      </c>
      <c r="B503" s="304">
        <f t="shared" ca="1" si="210"/>
        <v>35.100000000000186</v>
      </c>
      <c r="D503" s="306">
        <f t="shared" ca="1" si="211"/>
        <v>-0.57153036274931546</v>
      </c>
      <c r="E503" s="307">
        <f t="shared" ca="1" si="212"/>
        <v>-0.6388124752965556</v>
      </c>
      <c r="F503" s="304">
        <f t="shared" ca="1" si="213"/>
        <v>0.85716295658344721</v>
      </c>
      <c r="G503" s="306">
        <f t="shared" ca="1" si="214"/>
        <v>6.1516126354456384</v>
      </c>
      <c r="H503" s="307">
        <f t="shared" ca="1" si="215"/>
        <v>-99.694203595367156</v>
      </c>
      <c r="I503" s="304">
        <f t="shared" ca="1" si="216"/>
        <v>99.883815348289005</v>
      </c>
      <c r="J503" s="306">
        <f t="shared" ca="1" si="217"/>
        <v>703.11775502719127</v>
      </c>
      <c r="K503" s="307">
        <f t="shared" ca="1" si="218"/>
        <v>141.69702197051851</v>
      </c>
      <c r="L503" s="304">
        <f t="shared" ca="1" si="203"/>
        <v>717.25352802882117</v>
      </c>
      <c r="M503" s="306">
        <f t="shared" ca="1" si="219"/>
        <v>-1.5091696442847444</v>
      </c>
      <c r="N503" s="304">
        <f t="shared" ca="1" si="220"/>
        <v>-86.469051186775602</v>
      </c>
      <c r="P503" s="310">
        <f t="shared" ca="1" si="221"/>
        <v>23</v>
      </c>
      <c r="Q503" s="304">
        <f t="shared" ca="1" si="222"/>
        <v>0</v>
      </c>
      <c r="R503" s="306">
        <f t="shared" ca="1" si="223"/>
        <v>0</v>
      </c>
      <c r="S503" s="307">
        <f t="shared" ca="1" si="224"/>
        <v>2.6792999999999987</v>
      </c>
      <c r="T503" s="304">
        <f t="shared" ca="1" si="204"/>
        <v>26.283932999999987</v>
      </c>
      <c r="U503" s="311">
        <f t="shared" ca="1" si="205"/>
        <v>0</v>
      </c>
      <c r="V503" s="306">
        <f t="shared" ca="1" si="206"/>
        <v>1.207764227689003</v>
      </c>
      <c r="W503" s="304">
        <f t="shared" ca="1" si="207"/>
        <v>24.674324837190902</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0.60202796132165481</v>
      </c>
      <c r="AH503" s="304">
        <f t="shared" ca="1" si="231"/>
        <v>-9.1889785922495477</v>
      </c>
    </row>
    <row r="504" spans="1:34" x14ac:dyDescent="0.2">
      <c r="A504" s="347">
        <f t="shared" ca="1" si="209"/>
        <v>0.1</v>
      </c>
      <c r="B504" s="304">
        <f t="shared" ca="1" si="210"/>
        <v>35.200000000000188</v>
      </c>
      <c r="D504" s="306">
        <f t="shared" ca="1" si="211"/>
        <v>-0.56717592893950397</v>
      </c>
      <c r="E504" s="307">
        <f t="shared" ca="1" si="212"/>
        <v>-0.61823909355433138</v>
      </c>
      <c r="F504" s="304">
        <f t="shared" ca="1" si="213"/>
        <v>0.83899231889646675</v>
      </c>
      <c r="G504" s="306">
        <f t="shared" ca="1" si="214"/>
        <v>6.0948950425516877</v>
      </c>
      <c r="H504" s="307">
        <f t="shared" ca="1" si="215"/>
        <v>-99.756027504722596</v>
      </c>
      <c r="I504" s="304">
        <f t="shared" ca="1" si="216"/>
        <v>99.942047052793001</v>
      </c>
      <c r="J504" s="306">
        <f t="shared" ca="1" si="217"/>
        <v>703.73008041109108</v>
      </c>
      <c r="K504" s="307">
        <f t="shared" ca="1" si="218"/>
        <v>131.72451041551403</v>
      </c>
      <c r="L504" s="304">
        <f t="shared" ca="1" si="203"/>
        <v>715.95207431755341</v>
      </c>
      <c r="M504" s="306">
        <f t="shared" ca="1" si="219"/>
        <v>-1.5097741698202489</v>
      </c>
      <c r="N504" s="304">
        <f t="shared" ca="1" si="220"/>
        <v>-86.503687948567887</v>
      </c>
      <c r="P504" s="310">
        <f t="shared" ca="1" si="221"/>
        <v>23</v>
      </c>
      <c r="Q504" s="304">
        <f t="shared" ca="1" si="222"/>
        <v>0</v>
      </c>
      <c r="R504" s="306">
        <f t="shared" ca="1" si="223"/>
        <v>0</v>
      </c>
      <c r="S504" s="307">
        <f t="shared" ca="1" si="224"/>
        <v>2.6792999999999987</v>
      </c>
      <c r="T504" s="304">
        <f t="shared" ca="1" si="204"/>
        <v>26.283932999999987</v>
      </c>
      <c r="U504" s="311">
        <f t="shared" ca="1" si="205"/>
        <v>0</v>
      </c>
      <c r="V504" s="306">
        <f t="shared" ca="1" si="206"/>
        <v>1.2089693290879753</v>
      </c>
      <c r="W504" s="304">
        <f t="shared" ca="1" si="207"/>
        <v>24.727751848551986</v>
      </c>
      <c r="Y504" s="314" t="str">
        <f t="shared" ca="1" si="225"/>
        <v/>
      </c>
      <c r="Z504" s="315" t="str">
        <f t="shared" ca="1" si="226"/>
        <v/>
      </c>
      <c r="AA504" s="316" t="str">
        <f t="shared" ca="1" si="227"/>
        <v/>
      </c>
      <c r="AC504" s="310" t="e">
        <f t="shared" ca="1" si="228"/>
        <v>#N/A</v>
      </c>
      <c r="AD504" s="323" t="e">
        <f t="shared" ca="1" si="229"/>
        <v>#N/A</v>
      </c>
      <c r="AE504" s="324" t="e">
        <f t="shared" ca="1" si="208"/>
        <v>#N/A</v>
      </c>
      <c r="AG504" s="306">
        <f t="shared" ca="1" si="230"/>
        <v>0.58213442537897286</v>
      </c>
      <c r="AH504" s="304">
        <f t="shared" ca="1" si="231"/>
        <v>-9.2092430251151107</v>
      </c>
    </row>
    <row r="505" spans="1:34" x14ac:dyDescent="0.2">
      <c r="A505" s="347">
        <f t="shared" ca="1" si="209"/>
        <v>0.1</v>
      </c>
      <c r="B505" s="304">
        <f t="shared" ca="1" si="210"/>
        <v>35.300000000000189</v>
      </c>
      <c r="D505" s="306">
        <f t="shared" ca="1" si="211"/>
        <v>-0.5628352385239872</v>
      </c>
      <c r="E505" s="307">
        <f t="shared" ca="1" si="212"/>
        <v>-0.59799435546640289</v>
      </c>
      <c r="F505" s="304">
        <f t="shared" ca="1" si="213"/>
        <v>0.82120688921491158</v>
      </c>
      <c r="G505" s="306">
        <f t="shared" ca="1" si="214"/>
        <v>6.0386115186992892</v>
      </c>
      <c r="H505" s="307">
        <f t="shared" ca="1" si="215"/>
        <v>-99.815826940269233</v>
      </c>
      <c r="I505" s="304">
        <f t="shared" ca="1" si="216"/>
        <v>99.998320670116982</v>
      </c>
      <c r="J505" s="306">
        <f t="shared" ca="1" si="217"/>
        <v>704.33675573915366</v>
      </c>
      <c r="K505" s="307">
        <f t="shared" ca="1" si="218"/>
        <v>121.74591769326445</v>
      </c>
      <c r="L505" s="304">
        <f t="shared" ca="1" si="203"/>
        <v>714.78131897814126</v>
      </c>
      <c r="M505" s="306">
        <f t="shared" ca="1" si="219"/>
        <v>-1.510372435813403</v>
      </c>
      <c r="N505" s="304">
        <f t="shared" ca="1" si="220"/>
        <v>-86.537966065001825</v>
      </c>
      <c r="P505" s="310">
        <f t="shared" ca="1" si="221"/>
        <v>23</v>
      </c>
      <c r="Q505" s="304">
        <f t="shared" ca="1" si="222"/>
        <v>0</v>
      </c>
      <c r="R505" s="306">
        <f t="shared" ca="1" si="223"/>
        <v>0</v>
      </c>
      <c r="S505" s="307">
        <f t="shared" ca="1" si="224"/>
        <v>2.6792999999999987</v>
      </c>
      <c r="T505" s="304">
        <f t="shared" ca="1" si="204"/>
        <v>26.283932999999987</v>
      </c>
      <c r="U505" s="311">
        <f t="shared" ca="1" si="205"/>
        <v>0</v>
      </c>
      <c r="V505" s="306">
        <f t="shared" ca="1" si="206"/>
        <v>1.2101763609595022</v>
      </c>
      <c r="W505" s="304">
        <f t="shared" ca="1" si="207"/>
        <v>24.780322160652389</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0.56255721515112711</v>
      </c>
      <c r="AH505" s="304">
        <f t="shared" ca="1" si="231"/>
        <v>-9.2291836854969578</v>
      </c>
    </row>
    <row r="506" spans="1:34" x14ac:dyDescent="0.2">
      <c r="A506" s="347">
        <f t="shared" ca="1" si="209"/>
        <v>0.1</v>
      </c>
      <c r="B506" s="304">
        <f t="shared" ca="1" si="210"/>
        <v>35.40000000000019</v>
      </c>
      <c r="D506" s="306">
        <f t="shared" ca="1" si="211"/>
        <v>-0.55850875902905217</v>
      </c>
      <c r="E506" s="307">
        <f t="shared" ca="1" si="212"/>
        <v>-0.57807417346887036</v>
      </c>
      <c r="F506" s="304">
        <f t="shared" ca="1" si="213"/>
        <v>0.80380456825268765</v>
      </c>
      <c r="G506" s="306">
        <f t="shared" ca="1" si="214"/>
        <v>5.982760642796384</v>
      </c>
      <c r="H506" s="307">
        <f t="shared" ca="1" si="215"/>
        <v>-99.873634357616126</v>
      </c>
      <c r="I506" s="304">
        <f t="shared" ca="1" si="216"/>
        <v>100.05266745423529</v>
      </c>
      <c r="J506" s="306">
        <f t="shared" ca="1" si="217"/>
        <v>704.93782434722846</v>
      </c>
      <c r="K506" s="307">
        <f t="shared" ca="1" si="218"/>
        <v>111.76144462837017</v>
      </c>
      <c r="L506" s="304">
        <f t="shared" ca="1" si="203"/>
        <v>713.74222006325522</v>
      </c>
      <c r="M506" s="306">
        <f t="shared" ca="1" si="219"/>
        <v>-1.5109645217497225</v>
      </c>
      <c r="N506" s="304">
        <f t="shared" ca="1" si="220"/>
        <v>-86.571890090261988</v>
      </c>
      <c r="P506" s="310">
        <f t="shared" ca="1" si="221"/>
        <v>23</v>
      </c>
      <c r="Q506" s="304">
        <f t="shared" ca="1" si="222"/>
        <v>0</v>
      </c>
      <c r="R506" s="306">
        <f t="shared" ca="1" si="223"/>
        <v>0</v>
      </c>
      <c r="S506" s="307">
        <f t="shared" ca="1" si="224"/>
        <v>2.6792999999999987</v>
      </c>
      <c r="T506" s="304">
        <f t="shared" ca="1" si="204"/>
        <v>26.283932999999987</v>
      </c>
      <c r="U506" s="311">
        <f t="shared" ca="1" si="205"/>
        <v>0</v>
      </c>
      <c r="V506" s="306">
        <f t="shared" ca="1" si="206"/>
        <v>1.211385302943585</v>
      </c>
      <c r="W506" s="304">
        <f t="shared" ca="1" si="207"/>
        <v>24.832046509853274</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0.54329246599314018</v>
      </c>
      <c r="AH506" s="304">
        <f t="shared" ca="1" si="231"/>
        <v>-9.2488045984594489</v>
      </c>
    </row>
    <row r="507" spans="1:34" x14ac:dyDescent="0.2">
      <c r="A507" s="347">
        <f t="shared" ca="1" si="209"/>
        <v>0.1</v>
      </c>
      <c r="B507" s="304">
        <f t="shared" ca="1" si="210"/>
        <v>35.500000000000192</v>
      </c>
      <c r="D507" s="306">
        <f t="shared" ca="1" si="211"/>
        <v>-0.55419694229881766</v>
      </c>
      <c r="E507" s="307">
        <f t="shared" ca="1" si="212"/>
        <v>-0.55847447826524643</v>
      </c>
      <c r="F507" s="304">
        <f t="shared" ca="1" si="213"/>
        <v>0.78678332069699997</v>
      </c>
      <c r="G507" s="306">
        <f t="shared" ca="1" si="214"/>
        <v>5.9273409485665018</v>
      </c>
      <c r="H507" s="307">
        <f t="shared" ca="1" si="215"/>
        <v>-99.929481805442649</v>
      </c>
      <c r="I507" s="304">
        <f t="shared" ca="1" si="216"/>
        <v>100.10511827386674</v>
      </c>
      <c r="J507" s="306">
        <f t="shared" ca="1" si="217"/>
        <v>705.53332942679663</v>
      </c>
      <c r="K507" s="307">
        <f t="shared" ca="1" si="218"/>
        <v>101.77128882021724</v>
      </c>
      <c r="L507" s="304">
        <f t="shared" ca="1" si="203"/>
        <v>712.83565718908085</v>
      </c>
      <c r="M507" s="306">
        <f t="shared" ca="1" si="219"/>
        <v>-1.5115505056789411</v>
      </c>
      <c r="N507" s="304">
        <f t="shared" ca="1" si="220"/>
        <v>-86.605464496268695</v>
      </c>
      <c r="P507" s="310">
        <f t="shared" ca="1" si="221"/>
        <v>23</v>
      </c>
      <c r="Q507" s="304">
        <f t="shared" ca="1" si="222"/>
        <v>0</v>
      </c>
      <c r="R507" s="306">
        <f t="shared" ca="1" si="223"/>
        <v>0</v>
      </c>
      <c r="S507" s="307">
        <f t="shared" ca="1" si="224"/>
        <v>2.6792999999999987</v>
      </c>
      <c r="T507" s="304">
        <f t="shared" ca="1" si="204"/>
        <v>26.283932999999987</v>
      </c>
      <c r="U507" s="311">
        <f t="shared" ca="1" si="205"/>
        <v>0</v>
      </c>
      <c r="V507" s="306">
        <f t="shared" ca="1" si="206"/>
        <v>1.2125961349859649</v>
      </c>
      <c r="W507" s="304">
        <f t="shared" ca="1" si="207"/>
        <v>24.882935581516708</v>
      </c>
      <c r="Y507" s="314" t="str">
        <f t="shared" ca="1" si="225"/>
        <v/>
      </c>
      <c r="Z507" s="315" t="str">
        <f t="shared" ca="1" si="226"/>
        <v/>
      </c>
      <c r="AA507" s="316" t="str">
        <f t="shared" ca="1" si="227"/>
        <v/>
      </c>
      <c r="AC507" s="310" t="e">
        <f t="shared" ca="1" si="228"/>
        <v>#N/A</v>
      </c>
      <c r="AD507" s="323" t="e">
        <f t="shared" ca="1" si="229"/>
        <v>#N/A</v>
      </c>
      <c r="AE507" s="324" t="e">
        <f t="shared" ca="1" si="208"/>
        <v>#N/A</v>
      </c>
      <c r="AG507" s="306">
        <f t="shared" ca="1" si="230"/>
        <v>0.52433632726060431</v>
      </c>
      <c r="AH507" s="304">
        <f t="shared" ca="1" si="231"/>
        <v>-9.2681097711541405</v>
      </c>
    </row>
    <row r="508" spans="1:34" x14ac:dyDescent="0.2">
      <c r="A508" s="347">
        <f t="shared" ca="1" si="209"/>
        <v>0.1</v>
      </c>
      <c r="B508" s="304">
        <f t="shared" ca="1" si="210"/>
        <v>35.600000000000193</v>
      </c>
      <c r="D508" s="306">
        <f t="shared" ca="1" si="211"/>
        <v>-0.54990022479285683</v>
      </c>
      <c r="E508" s="307">
        <f t="shared" ca="1" si="212"/>
        <v>-0.53919121996242403</v>
      </c>
      <c r="F508" s="304">
        <f t="shared" ca="1" si="213"/>
        <v>0.7701411746633221</v>
      </c>
      <c r="G508" s="306">
        <f t="shared" ca="1" si="214"/>
        <v>5.8723509260872158</v>
      </c>
      <c r="H508" s="307">
        <f t="shared" ca="1" si="215"/>
        <v>-99.983400927438893</v>
      </c>
      <c r="I508" s="304">
        <f t="shared" ca="1" si="216"/>
        <v>100.15570361400347</v>
      </c>
      <c r="J508" s="306">
        <f t="shared" ca="1" si="217"/>
        <v>706.12331402052928</v>
      </c>
      <c r="K508" s="307">
        <f t="shared" ca="1" si="218"/>
        <v>91.775644683573162</v>
      </c>
      <c r="L508" s="304">
        <f t="shared" ca="1" si="203"/>
        <v>712.06242953860476</v>
      </c>
      <c r="M508" s="306">
        <f t="shared" ca="1" si="219"/>
        <v>-1.5121304642504616</v>
      </c>
      <c r="N508" s="304">
        <f t="shared" ca="1" si="220"/>
        <v>-86.638693674709259</v>
      </c>
      <c r="P508" s="310">
        <f t="shared" ca="1" si="221"/>
        <v>23</v>
      </c>
      <c r="Q508" s="304">
        <f t="shared" ca="1" si="222"/>
        <v>0</v>
      </c>
      <c r="R508" s="306">
        <f t="shared" ca="1" si="223"/>
        <v>0</v>
      </c>
      <c r="S508" s="307">
        <f t="shared" ca="1" si="224"/>
        <v>2.6792999999999987</v>
      </c>
      <c r="T508" s="304">
        <f t="shared" ca="1" si="204"/>
        <v>26.283932999999987</v>
      </c>
      <c r="U508" s="311">
        <f t="shared" ca="1" si="205"/>
        <v>0</v>
      </c>
      <c r="V508" s="306">
        <f t="shared" ca="1" si="206"/>
        <v>1.2138088373346807</v>
      </c>
      <c r="W508" s="304">
        <f t="shared" ca="1" si="207"/>
        <v>24.933000007139295</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0.50568496354360626</v>
      </c>
      <c r="AH508" s="304">
        <f t="shared" ca="1" si="231"/>
        <v>-9.2871031916981011</v>
      </c>
    </row>
    <row r="509" spans="1:34" x14ac:dyDescent="0.2">
      <c r="A509" s="347">
        <f t="shared" ca="1" si="209"/>
        <v>0.1</v>
      </c>
      <c r="B509" s="304">
        <f t="shared" ca="1" si="210"/>
        <v>35.700000000000195</v>
      </c>
      <c r="D509" s="306">
        <f t="shared" ca="1" si="211"/>
        <v>-0.54561902788178951</v>
      </c>
      <c r="E509" s="307">
        <f t="shared" ca="1" si="212"/>
        <v>-0.5202203691540479</v>
      </c>
      <c r="F509" s="304">
        <f t="shared" ca="1" si="213"/>
        <v>0.75387622065524984</v>
      </c>
      <c r="G509" s="306">
        <f t="shared" ca="1" si="214"/>
        <v>5.8177890232990368</v>
      </c>
      <c r="H509" s="307">
        <f t="shared" ca="1" si="215"/>
        <v>-100.0354229643543</v>
      </c>
      <c r="I509" s="304">
        <f t="shared" ca="1" si="216"/>
        <v>100.20445357755753</v>
      </c>
      <c r="J509" s="306">
        <f t="shared" ca="1" si="217"/>
        <v>706.70782101799864</v>
      </c>
      <c r="K509" s="307">
        <f t="shared" ca="1" si="218"/>
        <v>81.774703488983505</v>
      </c>
      <c r="L509" s="304">
        <f t="shared" ca="1" si="203"/>
        <v>711.4232540609836</v>
      </c>
      <c r="M509" s="306">
        <f t="shared" ca="1" si="219"/>
        <v>-1.5127044727477545</v>
      </c>
      <c r="N509" s="304">
        <f t="shared" ca="1" si="220"/>
        <v>-86.671581939008789</v>
      </c>
      <c r="P509" s="310">
        <f t="shared" ca="1" si="221"/>
        <v>23</v>
      </c>
      <c r="Q509" s="304">
        <f t="shared" ca="1" si="222"/>
        <v>0</v>
      </c>
      <c r="R509" s="306">
        <f t="shared" ca="1" si="223"/>
        <v>0</v>
      </c>
      <c r="S509" s="307">
        <f t="shared" ca="1" si="224"/>
        <v>2.6792999999999987</v>
      </c>
      <c r="T509" s="304">
        <f t="shared" ca="1" si="204"/>
        <v>26.283932999999987</v>
      </c>
      <c r="U509" s="311">
        <f t="shared" ca="1" si="205"/>
        <v>0</v>
      </c>
      <c r="V509" s="306">
        <f t="shared" ca="1" si="206"/>
        <v>1.2150233905366341</v>
      </c>
      <c r="W509" s="304">
        <f t="shared" ca="1" si="207"/>
        <v>24.982250361621134</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0.48733455584503282</v>
      </c>
      <c r="AH509" s="304">
        <f t="shared" ca="1" si="231"/>
        <v>-9.305788828104097</v>
      </c>
    </row>
    <row r="510" spans="1:34" x14ac:dyDescent="0.2">
      <c r="A510" s="347">
        <f t="shared" ca="1" si="209"/>
        <v>0.1</v>
      </c>
      <c r="B510" s="304">
        <f t="shared" ca="1" si="210"/>
        <v>35.800000000000196</v>
      </c>
      <c r="D510" s="306">
        <f t="shared" ca="1" si="211"/>
        <v>-0.54135375814071973</v>
      </c>
      <c r="E510" s="307">
        <f t="shared" ca="1" si="212"/>
        <v>-0.50155791795270765</v>
      </c>
      <c r="F510" s="304">
        <f t="shared" ca="1" si="213"/>
        <v>0.73798660998295618</v>
      </c>
      <c r="G510" s="306">
        <f t="shared" ca="1" si="214"/>
        <v>5.7636536474849649</v>
      </c>
      <c r="H510" s="307">
        <f t="shared" ca="1" si="215"/>
        <v>-100.08557875614957</v>
      </c>
      <c r="I510" s="304">
        <f t="shared" ca="1" si="216"/>
        <v>100.25139788711968</v>
      </c>
      <c r="J510" s="306">
        <f t="shared" ca="1" si="217"/>
        <v>707.28689315153781</v>
      </c>
      <c r="K510" s="307">
        <f t="shared" ca="1" si="218"/>
        <v>71.768653402958307</v>
      </c>
      <c r="L510" s="304">
        <f t="shared" ca="1" si="203"/>
        <v>710.91876387898833</v>
      </c>
      <c r="M510" s="306">
        <f t="shared" ca="1" si="219"/>
        <v>-1.51327260512174</v>
      </c>
      <c r="N510" s="304">
        <f t="shared" ca="1" si="220"/>
        <v>-86.704133526242913</v>
      </c>
      <c r="P510" s="310">
        <f t="shared" ca="1" si="221"/>
        <v>23</v>
      </c>
      <c r="Q510" s="304">
        <f t="shared" ca="1" si="222"/>
        <v>0</v>
      </c>
      <c r="R510" s="306">
        <f t="shared" ca="1" si="223"/>
        <v>0</v>
      </c>
      <c r="S510" s="307">
        <f t="shared" ca="1" si="224"/>
        <v>2.6792999999999987</v>
      </c>
      <c r="T510" s="304">
        <f t="shared" ca="1" si="204"/>
        <v>26.283932999999987</v>
      </c>
      <c r="U510" s="311">
        <f t="shared" ca="1" si="205"/>
        <v>0</v>
      </c>
      <c r="V510" s="306">
        <f t="shared" ca="1" si="206"/>
        <v>1.2162397754341674</v>
      </c>
      <c r="W510" s="304">
        <f t="shared" ca="1" si="207"/>
        <v>25.030697160666861</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0.46928130270468316</v>
      </c>
      <c r="AH510" s="304">
        <f t="shared" ca="1" si="231"/>
        <v>-9.3241706272612799</v>
      </c>
    </row>
    <row r="511" spans="1:34" x14ac:dyDescent="0.2">
      <c r="A511" s="347">
        <f t="shared" ca="1" si="209"/>
        <v>0.1</v>
      </c>
      <c r="B511" s="304">
        <f t="shared" ca="1" si="210"/>
        <v>35.900000000000198</v>
      </c>
      <c r="D511" s="306">
        <f t="shared" ca="1" si="211"/>
        <v>-0.53710480764038238</v>
      </c>
      <c r="E511" s="307">
        <f t="shared" ca="1" si="212"/>
        <v>-0.48319988097214051</v>
      </c>
      <c r="F511" s="304">
        <f t="shared" ca="1" si="213"/>
        <v>0.7224705525915246</v>
      </c>
      <c r="G511" s="306">
        <f t="shared" ca="1" si="214"/>
        <v>5.7099431667209268</v>
      </c>
      <c r="H511" s="307">
        <f t="shared" ca="1" si="215"/>
        <v>-100.13389874424679</v>
      </c>
      <c r="I511" s="304">
        <f t="shared" ca="1" si="216"/>
        <v>100.29656588682512</v>
      </c>
      <c r="J511" s="306">
        <f t="shared" ca="1" si="217"/>
        <v>707.86057299224808</v>
      </c>
      <c r="K511" s="307">
        <f t="shared" ca="1" si="218"/>
        <v>61.757679527938492</v>
      </c>
      <c r="L511" s="304">
        <f t="shared" ca="1" si="203"/>
        <v>710.54950691530939</v>
      </c>
      <c r="M511" s="306">
        <f t="shared" ca="1" si="219"/>
        <v>-1.5138349340231851</v>
      </c>
      <c r="N511" s="304">
        <f t="shared" ca="1" si="220"/>
        <v>-86.736352598993946</v>
      </c>
      <c r="P511" s="310">
        <f t="shared" ca="1" si="221"/>
        <v>23</v>
      </c>
      <c r="Q511" s="304">
        <f t="shared" ca="1" si="222"/>
        <v>0</v>
      </c>
      <c r="R511" s="306">
        <f t="shared" ca="1" si="223"/>
        <v>0</v>
      </c>
      <c r="S511" s="307">
        <f t="shared" ca="1" si="224"/>
        <v>2.6792999999999987</v>
      </c>
      <c r="T511" s="304">
        <f t="shared" ca="1" si="204"/>
        <v>26.283932999999987</v>
      </c>
      <c r="U511" s="311">
        <f t="shared" ca="1" si="205"/>
        <v>0</v>
      </c>
      <c r="V511" s="306">
        <f t="shared" ca="1" si="206"/>
        <v>1.2174579731616513</v>
      </c>
      <c r="W511" s="304">
        <f t="shared" ca="1" si="207"/>
        <v>25.078350858314963</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0.45152142127064465</v>
      </c>
      <c r="AH511" s="304">
        <f t="shared" ca="1" si="231"/>
        <v>-9.3422525139651675</v>
      </c>
    </row>
    <row r="512" spans="1:34" x14ac:dyDescent="0.2">
      <c r="A512" s="347">
        <f t="shared" ca="1" si="209"/>
        <v>0.1</v>
      </c>
      <c r="B512" s="304">
        <f t="shared" ca="1" si="210"/>
        <v>36.000000000000199</v>
      </c>
      <c r="D512" s="306">
        <f t="shared" ca="1" si="211"/>
        <v>-0.53287255423588609</v>
      </c>
      <c r="E512" s="307">
        <f t="shared" ca="1" si="212"/>
        <v>-0.46514229626090575</v>
      </c>
      <c r="F512" s="304">
        <f t="shared" ca="1" si="213"/>
        <v>0.70732631424876702</v>
      </c>
      <c r="G512" s="306">
        <f t="shared" ca="1" si="214"/>
        <v>5.6566559112973378</v>
      </c>
      <c r="H512" s="307">
        <f t="shared" ca="1" si="215"/>
        <v>-100.18041297387288</v>
      </c>
      <c r="I512" s="304">
        <f t="shared" ca="1" si="216"/>
        <v>100.33998654432106</v>
      </c>
      <c r="J512" s="306">
        <f t="shared" ca="1" si="217"/>
        <v>708.42890294614904</v>
      </c>
      <c r="K512" s="307">
        <f t="shared" ca="1" si="218"/>
        <v>51.741963942032513</v>
      </c>
      <c r="L512" s="304">
        <f t="shared" ca="1" si="203"/>
        <v>710.31594474716871</v>
      </c>
      <c r="M512" s="306">
        <f t="shared" ca="1" si="219"/>
        <v>-1.5143915308341533</v>
      </c>
      <c r="N512" s="304">
        <f t="shared" ca="1" si="220"/>
        <v>-86.768243247152867</v>
      </c>
      <c r="P512" s="310">
        <f t="shared" ca="1" si="221"/>
        <v>23</v>
      </c>
      <c r="Q512" s="304">
        <f t="shared" ca="1" si="222"/>
        <v>0</v>
      </c>
      <c r="R512" s="306">
        <f t="shared" ca="1" si="223"/>
        <v>0</v>
      </c>
      <c r="S512" s="307">
        <f t="shared" ca="1" si="224"/>
        <v>2.6792999999999987</v>
      </c>
      <c r="T512" s="304">
        <f t="shared" ca="1" si="204"/>
        <v>26.283932999999987</v>
      </c>
      <c r="U512" s="311">
        <f t="shared" ca="1" si="205"/>
        <v>0</v>
      </c>
      <c r="V512" s="306">
        <f t="shared" ca="1" si="206"/>
        <v>1.218677965142084</v>
      </c>
      <c r="W512" s="304">
        <f t="shared" ca="1" si="207"/>
        <v>25.125221844592062</v>
      </c>
      <c r="Y512" s="314" t="str">
        <f t="shared" ca="1" si="225"/>
        <v/>
      </c>
      <c r="Z512" s="315" t="str">
        <f t="shared" ca="1" si="226"/>
        <v/>
      </c>
      <c r="AA512" s="316" t="str">
        <f t="shared" ca="1" si="227"/>
        <v/>
      </c>
      <c r="AC512" s="310">
        <f t="shared" ca="1" si="228"/>
        <v>36.000000000000199</v>
      </c>
      <c r="AD512" s="323">
        <f t="shared" ca="1" si="229"/>
        <v>708.42890294614904</v>
      </c>
      <c r="AE512" s="324" t="e">
        <f t="shared" ca="1" si="208"/>
        <v>#N/A</v>
      </c>
      <c r="AG512" s="306">
        <f t="shared" ca="1" si="230"/>
        <v>0.4340511483193481</v>
      </c>
      <c r="AH512" s="304">
        <f t="shared" ca="1" si="231"/>
        <v>-9.3600383899955126</v>
      </c>
    </row>
    <row r="513" spans="1:34" x14ac:dyDescent="0.2">
      <c r="A513" s="347">
        <f t="shared" ca="1" si="209"/>
        <v>0.1</v>
      </c>
      <c r="B513" s="304">
        <f t="shared" ca="1" si="210"/>
        <v>36.1000000000002</v>
      </c>
      <c r="D513" s="306">
        <f t="shared" ca="1" si="211"/>
        <v>-0.52865736185291146</v>
      </c>
      <c r="E513" s="307">
        <f t="shared" ca="1" si="212"/>
        <v>-0.44738122618877263</v>
      </c>
      <c r="F513" s="304">
        <f t="shared" ca="1" si="213"/>
        <v>0.69255221304061243</v>
      </c>
      <c r="G513" s="306">
        <f t="shared" ca="1" si="214"/>
        <v>5.6037901751120467</v>
      </c>
      <c r="H513" s="307">
        <f t="shared" ca="1" si="215"/>
        <v>-100.22515109649176</v>
      </c>
      <c r="I513" s="304">
        <f t="shared" ca="1" si="216"/>
        <v>100.3816884528313</v>
      </c>
      <c r="J513" s="306">
        <f t="shared" ca="1" si="217"/>
        <v>708.99192525046954</v>
      </c>
      <c r="K513" s="307">
        <f t="shared" ca="1" si="218"/>
        <v>41.721685738514282</v>
      </c>
      <c r="L513" s="304">
        <f t="shared" ca="1" si="203"/>
        <v>710.21845169724418</v>
      </c>
      <c r="M513" s="306">
        <f t="shared" ca="1" si="219"/>
        <v>-1.514942465698534</v>
      </c>
      <c r="N513" s="304">
        <f t="shared" ca="1" si="220"/>
        <v>-86.799809489668476</v>
      </c>
      <c r="P513" s="310">
        <f t="shared" ca="1" si="221"/>
        <v>23</v>
      </c>
      <c r="Q513" s="304">
        <f t="shared" ca="1" si="222"/>
        <v>0</v>
      </c>
      <c r="R513" s="306">
        <f t="shared" ca="1" si="223"/>
        <v>0</v>
      </c>
      <c r="S513" s="307">
        <f t="shared" ca="1" si="224"/>
        <v>2.6792999999999987</v>
      </c>
      <c r="T513" s="304">
        <f t="shared" ca="1" si="204"/>
        <v>26.283932999999987</v>
      </c>
      <c r="U513" s="311">
        <f t="shared" ca="1" si="205"/>
        <v>0</v>
      </c>
      <c r="V513" s="306">
        <f t="shared" ca="1" si="206"/>
        <v>1.2198997330837054</v>
      </c>
      <c r="W513" s="304">
        <f t="shared" ca="1" si="207"/>
        <v>25.171320443288813</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0.41686674122580847</v>
      </c>
      <c r="AH513" s="304">
        <f t="shared" ca="1" si="231"/>
        <v>-9.3775321332408001</v>
      </c>
    </row>
    <row r="514" spans="1:34" x14ac:dyDescent="0.2">
      <c r="A514" s="347">
        <f t="shared" ca="1" si="209"/>
        <v>0.1</v>
      </c>
      <c r="B514" s="304">
        <f t="shared" ca="1" si="210"/>
        <v>36.200000000000202</v>
      </c>
      <c r="D514" s="306">
        <f t="shared" ca="1" si="211"/>
        <v>-0.5244595807712833</v>
      </c>
      <c r="E514" s="307">
        <f t="shared" ca="1" si="212"/>
        <v>-0.42991275828710229</v>
      </c>
      <c r="F514" s="304">
        <f t="shared" ca="1" si="213"/>
        <v>0.67814661512154928</v>
      </c>
      <c r="G514" s="306">
        <f t="shared" ca="1" si="214"/>
        <v>5.5513442170349183</v>
      </c>
      <c r="H514" s="307">
        <f t="shared" ca="1" si="215"/>
        <v>-100.26814237232047</v>
      </c>
      <c r="I514" s="304">
        <f t="shared" ca="1" si="216"/>
        <v>100.42169983331259</v>
      </c>
      <c r="J514" s="306">
        <f t="shared" ca="1" si="217"/>
        <v>709.5496819700769</v>
      </c>
      <c r="K514" s="307">
        <f t="shared" ca="1" si="218"/>
        <v>31.69702106507367</v>
      </c>
      <c r="L514" s="304">
        <f t="shared" ca="1" si="203"/>
        <v>710.25731416736357</v>
      </c>
      <c r="M514" s="306">
        <f t="shared" ca="1" si="219"/>
        <v>-1.515487807551682</v>
      </c>
      <c r="N514" s="304">
        <f t="shared" ca="1" si="220"/>
        <v>-86.831055276245706</v>
      </c>
      <c r="P514" s="310">
        <f t="shared" ca="1" si="221"/>
        <v>23</v>
      </c>
      <c r="Q514" s="304">
        <f t="shared" ca="1" si="222"/>
        <v>0</v>
      </c>
      <c r="R514" s="306">
        <f t="shared" ca="1" si="223"/>
        <v>0</v>
      </c>
      <c r="S514" s="307">
        <f t="shared" ca="1" si="224"/>
        <v>2.6792999999999987</v>
      </c>
      <c r="T514" s="304">
        <f t="shared" ca="1" si="204"/>
        <v>26.283932999999987</v>
      </c>
      <c r="U514" s="311">
        <f t="shared" ca="1" si="205"/>
        <v>0</v>
      </c>
      <c r="V514" s="306">
        <f t="shared" ca="1" si="206"/>
        <v>1.2211232589766228</v>
      </c>
      <c r="W514" s="304">
        <f t="shared" ca="1" si="207"/>
        <v>25.216656909853793</v>
      </c>
      <c r="Y514" s="314" t="str">
        <f t="shared" ca="1" si="225"/>
        <v/>
      </c>
      <c r="Z514" s="315" t="str">
        <f t="shared" ca="1" si="226"/>
        <v/>
      </c>
      <c r="AA514" s="316" t="str">
        <f t="shared" ca="1" si="227"/>
        <v/>
      </c>
      <c r="AC514" s="310" t="e">
        <f t="shared" ca="1" si="228"/>
        <v>#N/A</v>
      </c>
      <c r="AD514" s="323" t="e">
        <f t="shared" ca="1" si="229"/>
        <v>#N/A</v>
      </c>
      <c r="AE514" s="324" t="e">
        <f t="shared" ca="1" si="208"/>
        <v>#N/A</v>
      </c>
      <c r="AG514" s="306">
        <f t="shared" ca="1" si="230"/>
        <v>0.39996447888531605</v>
      </c>
      <c r="AH514" s="304">
        <f t="shared" ca="1" si="231"/>
        <v>-9.394737596868147</v>
      </c>
    </row>
    <row r="515" spans="1:34" x14ac:dyDescent="0.2">
      <c r="A515" s="347">
        <f t="shared" ca="1" si="209"/>
        <v>0.1</v>
      </c>
      <c r="B515" s="304">
        <f t="shared" ca="1" si="210"/>
        <v>36.300000000000203</v>
      </c>
      <c r="D515" s="306">
        <f t="shared" ca="1" si="211"/>
        <v>-0.52027954790582176</v>
      </c>
      <c r="E515" s="307">
        <f t="shared" ca="1" si="212"/>
        <v>-0.41273300604458285</v>
      </c>
      <c r="F515" s="304">
        <f t="shared" ca="1" si="213"/>
        <v>0.66410792966782439</v>
      </c>
      <c r="G515" s="306">
        <f t="shared" ca="1" si="214"/>
        <v>5.4993162622443359</v>
      </c>
      <c r="H515" s="307">
        <f t="shared" ca="1" si="215"/>
        <v>-100.30941567292493</v>
      </c>
      <c r="I515" s="304">
        <f t="shared" ca="1" si="216"/>
        <v>100.46004853669852</v>
      </c>
      <c r="J515" s="306">
        <f t="shared" ca="1" si="217"/>
        <v>710.10221499404088</v>
      </c>
      <c r="K515" s="307">
        <f t="shared" ca="1" si="218"/>
        <v>21.668143162811401</v>
      </c>
      <c r="L515" s="304">
        <f t="shared" ca="1" si="203"/>
        <v>710.43273021980565</v>
      </c>
      <c r="M515" s="306">
        <f t="shared" ca="1" si="219"/>
        <v>-1.5160276241492012</v>
      </c>
      <c r="N515" s="304">
        <f t="shared" ca="1" si="220"/>
        <v>-86.861984488994665</v>
      </c>
      <c r="P515" s="310">
        <f t="shared" ca="1" si="221"/>
        <v>23</v>
      </c>
      <c r="Q515" s="304">
        <f t="shared" ca="1" si="222"/>
        <v>0</v>
      </c>
      <c r="R515" s="306">
        <f t="shared" ca="1" si="223"/>
        <v>0</v>
      </c>
      <c r="S515" s="307">
        <f t="shared" ca="1" si="224"/>
        <v>2.6792999999999987</v>
      </c>
      <c r="T515" s="304">
        <f t="shared" ca="1" si="204"/>
        <v>26.283932999999987</v>
      </c>
      <c r="U515" s="311">
        <f t="shared" ca="1" si="205"/>
        <v>0</v>
      </c>
      <c r="V515" s="306">
        <f t="shared" ca="1" si="206"/>
        <v>1.2223485250894532</v>
      </c>
      <c r="W515" s="304">
        <f t="shared" ca="1" si="207"/>
        <v>25.261241429402343</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0.3833406625881004</v>
      </c>
      <c r="AH515" s="304">
        <f t="shared" ca="1" si="231"/>
        <v>-9.4116586085372322</v>
      </c>
    </row>
    <row r="516" spans="1:34" x14ac:dyDescent="0.2">
      <c r="A516" s="347">
        <f t="shared" ca="1" si="209"/>
        <v>0.1</v>
      </c>
      <c r="B516" s="304">
        <f t="shared" ca="1" si="210"/>
        <v>36.400000000000205</v>
      </c>
      <c r="D516" s="306">
        <f t="shared" ca="1" si="211"/>
        <v>-0.51611758708434496</v>
      </c>
      <c r="E516" s="307">
        <f t="shared" ca="1" si="212"/>
        <v>-0.39583810965947031</v>
      </c>
      <c r="F516" s="304">
        <f t="shared" ca="1" si="213"/>
        <v>0.65043460298215172</v>
      </c>
      <c r="G516" s="306">
        <f t="shared" ca="1" si="214"/>
        <v>5.4477045035359017</v>
      </c>
      <c r="H516" s="307">
        <f t="shared" ca="1" si="215"/>
        <v>-100.34899948389088</v>
      </c>
      <c r="I516" s="304">
        <f t="shared" ca="1" si="216"/>
        <v>100.49676204622604</v>
      </c>
      <c r="J516" s="306">
        <f t="shared" ca="1" si="217"/>
        <v>710.64956603232986</v>
      </c>
      <c r="K516" s="307">
        <f t="shared" ca="1" si="218"/>
        <v>11.635222404970609</v>
      </c>
      <c r="L516" s="304">
        <f t="shared" ref="L516:L579" ca="1" si="232">SQRT(pos_x^2+pos_z^2)</f>
        <v>710.74480940936314</v>
      </c>
      <c r="M516" s="306">
        <f t="shared" ca="1" si="219"/>
        <v>-1.5165619820948955</v>
      </c>
      <c r="N516" s="304">
        <f t="shared" ca="1" si="220"/>
        <v>-86.892600944032225</v>
      </c>
      <c r="P516" s="310">
        <f t="shared" ca="1" si="221"/>
        <v>23</v>
      </c>
      <c r="Q516" s="304">
        <f t="shared" ca="1" si="222"/>
        <v>0</v>
      </c>
      <c r="R516" s="306">
        <f t="shared" ca="1" si="223"/>
        <v>0</v>
      </c>
      <c r="S516" s="307">
        <f t="shared" ca="1" si="224"/>
        <v>2.6792999999999987</v>
      </c>
      <c r="T516" s="304">
        <f t="shared" ref="T516:T579" ca="1" si="233">m*g</f>
        <v>26.283932999999987</v>
      </c>
      <c r="U516" s="311">
        <f t="shared" ref="U516:U579" ca="1" si="234">IF(pos_xz&lt;L_rampe,Poids*COS(Beta),0)</f>
        <v>0</v>
      </c>
      <c r="V516" s="306">
        <f t="shared" ref="V516:V579" ca="1" si="235">Rho_moyen*(20000-Alt_rampe-pos_z)/(20000+Alt_rampe+pos_z)</f>
        <v>1.2235755139659823</v>
      </c>
      <c r="W516" s="304">
        <f t="shared" ref="W516:W579" ca="1" si="236">1/2*Rho*Sref*Cx*vit_xz^2</f>
        <v>25.305084114836884</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0.36699161684821568</v>
      </c>
      <c r="AH516" s="304">
        <f t="shared" ca="1" si="231"/>
        <v>-9.4282989696571331</v>
      </c>
    </row>
    <row r="517" spans="1:34" x14ac:dyDescent="0.2">
      <c r="A517" s="347">
        <f t="shared" ref="A517:A580" ca="1" si="238">IF(B516+0.01&lt;=T_ini+ROUNDUP(Temps_fin_propu,0), 0.01, IF(K516&gt;0, 0.1, 0.0001))</f>
        <v>0.1</v>
      </c>
      <c r="B517" s="304">
        <f t="shared" ref="B517:B580" ca="1" si="239">B516+pas</f>
        <v>36.500000000000206</v>
      </c>
      <c r="D517" s="306">
        <f t="shared" ref="D517:D580" ca="1" si="240">IF(AND(L516&lt;L_rampe,Poussee&lt;Poids*SIN(M516)),0,(-W516+Poussee)/m*COS(M516)-U516/m*SIN(M516))</f>
        <v>-0.51197400932276915</v>
      </c>
      <c r="E517" s="307">
        <f t="shared" ref="E517:E580" ca="1" si="241">IF(AND(L516&lt;L_rampe,Poussee&lt;Poids*SIN(M516)),0,(-W516+Poussee)/m*SIN(M516)+U516/m*COS(M516)-Poids/m)</f>
        <v>-0.37922423674965877</v>
      </c>
      <c r="F517" s="304">
        <f t="shared" ref="F517:F580" ca="1" si="242">SQRT(acc_x^2+acc_z^2)</f>
        <v>0.6371251117012986</v>
      </c>
      <c r="G517" s="306">
        <f t="shared" ref="G517:G580" ca="1" si="243">G516+acc_x*pas</f>
        <v>5.3965071026036249</v>
      </c>
      <c r="H517" s="307">
        <f t="shared" ref="H517:H580" ca="1" si="244">H516+acc_z*pas</f>
        <v>-100.38692190756585</v>
      </c>
      <c r="I517" s="304">
        <f t="shared" ref="I517:I580" ca="1" si="245">SQRT(vit_x^2+vit_z^2)</f>
        <v>100.53186747984032</v>
      </c>
      <c r="J517" s="306">
        <f t="shared" ref="J517:J580" ca="1" si="246">J516+0.5*(vit_x+G516)*pas*(K516&gt;=0)</f>
        <v>711.19177661263689</v>
      </c>
      <c r="K517" s="307">
        <f t="shared" ref="K517:K580" ca="1" si="247">K516+0.5*(vit_z+H516)*pas</f>
        <v>1.5984263353977717</v>
      </c>
      <c r="L517" s="304">
        <f t="shared" ca="1" si="232"/>
        <v>711.19357286760442</v>
      </c>
      <c r="M517" s="306">
        <f t="shared" ref="M517:M580" ca="1" si="248">IF(AND(L516&gt;L_rampe,G517&gt;0),ATAN2(G517,H517),$M$4)</f>
        <v>-1.517090946867915</v>
      </c>
      <c r="N517" s="304">
        <f t="shared" ref="N517:N580" ca="1" si="249">DEGREES(Beta)</f>
        <v>-86.922908393037346</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2.6792999999999987</v>
      </c>
      <c r="T517" s="304">
        <f t="shared" ca="1" si="233"/>
        <v>26.283932999999987</v>
      </c>
      <c r="U517" s="311">
        <f t="shared" ca="1" si="234"/>
        <v>0</v>
      </c>
      <c r="V517" s="306">
        <f t="shared" ca="1" si="235"/>
        <v>1.2248042084218347</v>
      </c>
      <c r="W517" s="304">
        <f t="shared" ca="1" si="236"/>
        <v>25.348195005075478</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0.35091369018802965</v>
      </c>
      <c r="AH517" s="304">
        <f t="shared" ref="AH517:AH580" ca="1" si="260">IF(AND(L516&lt;L_rampe,Poussee&lt;Poids*SIN(M516)), g*SIN(M516), (-W516+Poussee)/m)</f>
        <v>-9.4446624546847673</v>
      </c>
    </row>
    <row r="518" spans="1:34" x14ac:dyDescent="0.2">
      <c r="A518" s="347">
        <f t="shared" ca="1" si="238"/>
        <v>0.1</v>
      </c>
      <c r="B518" s="304">
        <f t="shared" ca="1" si="239"/>
        <v>36.600000000000207</v>
      </c>
      <c r="D518" s="306">
        <f t="shared" ca="1" si="240"/>
        <v>-0.50784911309722536</v>
      </c>
      <c r="E518" s="307">
        <f t="shared" ca="1" si="241"/>
        <v>-0.36288758302179147</v>
      </c>
      <c r="F518" s="304">
        <f t="shared" ca="1" si="242"/>
        <v>0.62417795506172435</v>
      </c>
      <c r="G518" s="306">
        <f t="shared" ca="1" si="243"/>
        <v>5.3457221912939019</v>
      </c>
      <c r="H518" s="307">
        <f t="shared" ca="1" si="244"/>
        <v>-100.42321066586803</v>
      </c>
      <c r="I518" s="304">
        <f t="shared" ca="1" si="245"/>
        <v>100.56539159267368</v>
      </c>
      <c r="J518" s="306">
        <f t="shared" ca="1" si="246"/>
        <v>711.72888807733182</v>
      </c>
      <c r="K518" s="307">
        <f t="shared" ca="1" si="247"/>
        <v>-8.4420802932739214</v>
      </c>
      <c r="L518" s="304">
        <f t="shared" ca="1" si="232"/>
        <v>711.77895363903053</v>
      </c>
      <c r="M518" s="306">
        <f t="shared" ca="1" si="248"/>
        <v>-1.5176145828491268</v>
      </c>
      <c r="N518" s="304">
        <f t="shared" ca="1" si="249"/>
        <v>-86.952910524761975</v>
      </c>
      <c r="P518" s="310">
        <f t="shared" ca="1" si="250"/>
        <v>23</v>
      </c>
      <c r="Q518" s="304">
        <f t="shared" ca="1" si="251"/>
        <v>0</v>
      </c>
      <c r="R518" s="306">
        <f t="shared" ca="1" si="252"/>
        <v>0</v>
      </c>
      <c r="S518" s="307">
        <f t="shared" ca="1" si="253"/>
        <v>2.6792999999999987</v>
      </c>
      <c r="T518" s="304">
        <f t="shared" ca="1" si="233"/>
        <v>26.283932999999987</v>
      </c>
      <c r="U518" s="311">
        <f t="shared" ca="1" si="234"/>
        <v>0</v>
      </c>
      <c r="V518" s="306">
        <f t="shared" ca="1" si="235"/>
        <v>1.226034591541169</v>
      </c>
      <c r="W518" s="304">
        <f t="shared" ca="1" si="236"/>
        <v>25.390584063385674</v>
      </c>
      <c r="Y518" s="314" t="str">
        <f t="shared" ca="1" si="254"/>
        <v>Impact balistique</v>
      </c>
      <c r="Z518" s="315" t="str">
        <f t="shared" ca="1" si="255"/>
        <v/>
      </c>
      <c r="AA518" s="316" t="str">
        <f t="shared" ca="1" si="256"/>
        <v/>
      </c>
      <c r="AC518" s="310" t="e">
        <f t="shared" ca="1" si="257"/>
        <v>#N/A</v>
      </c>
      <c r="AD518" s="323" t="e">
        <f t="shared" ca="1" si="258"/>
        <v>#N/A</v>
      </c>
      <c r="AE518" s="324" t="e">
        <f t="shared" ca="1" si="237"/>
        <v>#N/A</v>
      </c>
      <c r="AG518" s="306">
        <f t="shared" ca="1" si="259"/>
        <v>0.33510325587962697</v>
      </c>
      <c r="AH518" s="304">
        <f t="shared" ca="1" si="260"/>
        <v>-9.4607528104637364</v>
      </c>
    </row>
    <row r="519" spans="1:34" x14ac:dyDescent="0.2">
      <c r="A519" s="347">
        <f t="shared" ca="1" si="238"/>
        <v>1E-4</v>
      </c>
      <c r="B519" s="304">
        <f t="shared" ca="1" si="239"/>
        <v>36.600100000000211</v>
      </c>
      <c r="D519" s="306">
        <f t="shared" ca="1" si="240"/>
        <v>-0.50374318461310663</v>
      </c>
      <c r="E519" s="307">
        <f t="shared" ca="1" si="241"/>
        <v>-0.34682437290053869</v>
      </c>
      <c r="F519" s="304">
        <f t="shared" ca="1" si="242"/>
        <v>0.61159164618396022</v>
      </c>
      <c r="G519" s="306">
        <f t="shared" ca="1" si="243"/>
        <v>5.3456718169754405</v>
      </c>
      <c r="H519" s="307">
        <f t="shared" ca="1" si="244"/>
        <v>-100.42324534830531</v>
      </c>
      <c r="I519" s="304">
        <f t="shared" ca="1" si="245"/>
        <v>100.56542354835845</v>
      </c>
      <c r="J519" s="306">
        <f t="shared" ca="1" si="246"/>
        <v>711.72888807733182</v>
      </c>
      <c r="K519" s="307">
        <f t="shared" ca="1" si="247"/>
        <v>-8.4521226160746306</v>
      </c>
      <c r="L519" s="304">
        <f t="shared" ca="1" si="232"/>
        <v>711.77907281719956</v>
      </c>
      <c r="M519" s="306">
        <f t="shared" ca="1" si="248"/>
        <v>-1.5176151013842236</v>
      </c>
      <c r="N519" s="304">
        <f t="shared" ca="1" si="249"/>
        <v>-86.952940234634553</v>
      </c>
      <c r="P519" s="310">
        <f t="shared" ca="1" si="250"/>
        <v>23</v>
      </c>
      <c r="Q519" s="304">
        <f t="shared" ca="1" si="251"/>
        <v>0</v>
      </c>
      <c r="R519" s="306">
        <f t="shared" ca="1" si="252"/>
        <v>0</v>
      </c>
      <c r="S519" s="307">
        <f t="shared" ca="1" si="253"/>
        <v>2.6792999999999987</v>
      </c>
      <c r="T519" s="304">
        <f t="shared" ca="1" si="233"/>
        <v>26.283932999999987</v>
      </c>
      <c r="U519" s="311">
        <f t="shared" ca="1" si="234"/>
        <v>0</v>
      </c>
      <c r="V519" s="306">
        <f t="shared" ca="1" si="235"/>
        <v>1.2260358227655206</v>
      </c>
      <c r="W519" s="304">
        <f t="shared" ca="1" si="236"/>
        <v>25.390625697703015</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0.31955671264437591</v>
      </c>
      <c r="AH519" s="304">
        <f t="shared" ca="1" si="260"/>
        <v>-9.4765737556024661</v>
      </c>
    </row>
    <row r="520" spans="1:34" x14ac:dyDescent="0.2">
      <c r="A520" s="347">
        <f t="shared" ca="1" si="238"/>
        <v>1E-4</v>
      </c>
      <c r="B520" s="304">
        <f t="shared" ca="1" si="239"/>
        <v>36.600200000000214</v>
      </c>
      <c r="D520" s="306">
        <f t="shared" ca="1" si="240"/>
        <v>-0.50373910363131447</v>
      </c>
      <c r="E520" s="307">
        <f t="shared" ca="1" si="241"/>
        <v>-0.34680859441070311</v>
      </c>
      <c r="F520" s="304">
        <f t="shared" ca="1" si="242"/>
        <v>0.61157933719543511</v>
      </c>
      <c r="G520" s="306">
        <f t="shared" ca="1" si="243"/>
        <v>5.3456214430650775</v>
      </c>
      <c r="H520" s="307">
        <f t="shared" ca="1" si="244"/>
        <v>-100.42328002916476</v>
      </c>
      <c r="I520" s="304">
        <f t="shared" ca="1" si="245"/>
        <v>100.56545550251636</v>
      </c>
      <c r="J520" s="306">
        <f t="shared" ca="1" si="246"/>
        <v>711.72888807733182</v>
      </c>
      <c r="K520" s="307">
        <f t="shared" ca="1" si="247"/>
        <v>-8.4621649423435041</v>
      </c>
      <c r="L520" s="304">
        <f t="shared" ca="1" si="232"/>
        <v>711.77919213707457</v>
      </c>
      <c r="M520" s="306">
        <f t="shared" ca="1" si="248"/>
        <v>-1.5176156199141044</v>
      </c>
      <c r="N520" s="304">
        <f t="shared" ca="1" si="249"/>
        <v>-86.952969944208277</v>
      </c>
      <c r="P520" s="310">
        <f t="shared" ca="1" si="250"/>
        <v>23</v>
      </c>
      <c r="Q520" s="304">
        <f t="shared" ca="1" si="251"/>
        <v>0</v>
      </c>
      <c r="R520" s="306">
        <f t="shared" ca="1" si="252"/>
        <v>0</v>
      </c>
      <c r="S520" s="307">
        <f t="shared" ca="1" si="253"/>
        <v>2.6792999999999987</v>
      </c>
      <c r="T520" s="304">
        <f t="shared" ca="1" si="233"/>
        <v>26.283932999999987</v>
      </c>
      <c r="U520" s="311">
        <f t="shared" ca="1" si="234"/>
        <v>0</v>
      </c>
      <c r="V520" s="306">
        <f t="shared" ca="1" si="235"/>
        <v>1.2260370539915335</v>
      </c>
      <c r="W520" s="304">
        <f t="shared" ca="1" si="236"/>
        <v>25.390667331321296</v>
      </c>
      <c r="Y520" s="314" t="str">
        <f t="shared" ca="1" si="254"/>
        <v/>
      </c>
      <c r="Z520" s="315" t="str">
        <f t="shared" ca="1" si="255"/>
        <v/>
      </c>
      <c r="AA520" s="316" t="str">
        <f t="shared" ca="1" si="256"/>
        <v/>
      </c>
      <c r="AC520" s="310" t="e">
        <f t="shared" ca="1" si="257"/>
        <v>#N/A</v>
      </c>
      <c r="AD520" s="323" t="e">
        <f t="shared" ca="1" si="258"/>
        <v>#N/A</v>
      </c>
      <c r="AE520" s="324" t="e">
        <f t="shared" ca="1" si="237"/>
        <v>#N/A</v>
      </c>
      <c r="AG520" s="306">
        <f t="shared" ca="1" si="259"/>
        <v>0.31954144379021088</v>
      </c>
      <c r="AH520" s="304">
        <f t="shared" ca="1" si="260"/>
        <v>-9.4765892948542625</v>
      </c>
    </row>
    <row r="521" spans="1:34" x14ac:dyDescent="0.2">
      <c r="A521" s="347">
        <f t="shared" ca="1" si="238"/>
        <v>1E-4</v>
      </c>
      <c r="B521" s="304">
        <f t="shared" ca="1" si="239"/>
        <v>36.600300000000217</v>
      </c>
      <c r="D521" s="306">
        <f t="shared" ca="1" si="240"/>
        <v>-0.503735022668786</v>
      </c>
      <c r="E521" s="307">
        <f t="shared" ca="1" si="241"/>
        <v>-0.34679281618572411</v>
      </c>
      <c r="F521" s="304">
        <f t="shared" ca="1" si="242"/>
        <v>0.61156702855954215</v>
      </c>
      <c r="G521" s="306">
        <f t="shared" ca="1" si="243"/>
        <v>5.3455710695628103</v>
      </c>
      <c r="H521" s="307">
        <f t="shared" ca="1" si="244"/>
        <v>-100.42331470844637</v>
      </c>
      <c r="I521" s="304">
        <f t="shared" ca="1" si="245"/>
        <v>100.56548745514739</v>
      </c>
      <c r="J521" s="306">
        <f t="shared" ca="1" si="246"/>
        <v>711.72888807733182</v>
      </c>
      <c r="K521" s="307">
        <f t="shared" ca="1" si="247"/>
        <v>-8.472207272080384</v>
      </c>
      <c r="L521" s="304">
        <f t="shared" ca="1" si="232"/>
        <v>711.77931159865568</v>
      </c>
      <c r="M521" s="306">
        <f t="shared" ca="1" si="248"/>
        <v>-1.5176161384387696</v>
      </c>
      <c r="N521" s="304">
        <f t="shared" ca="1" si="249"/>
        <v>-86.952999653483161</v>
      </c>
      <c r="P521" s="310">
        <f t="shared" ca="1" si="250"/>
        <v>23</v>
      </c>
      <c r="Q521" s="304">
        <f t="shared" ca="1" si="251"/>
        <v>0</v>
      </c>
      <c r="R521" s="306">
        <f t="shared" ca="1" si="252"/>
        <v>0</v>
      </c>
      <c r="S521" s="307">
        <f t="shared" ca="1" si="253"/>
        <v>2.6792999999999987</v>
      </c>
      <c r="T521" s="304">
        <f t="shared" ca="1" si="233"/>
        <v>26.283932999999987</v>
      </c>
      <c r="U521" s="311">
        <f t="shared" ca="1" si="234"/>
        <v>0</v>
      </c>
      <c r="V521" s="306">
        <f t="shared" ca="1" si="235"/>
        <v>1.2260382852192091</v>
      </c>
      <c r="W521" s="304">
        <f t="shared" ca="1" si="236"/>
        <v>25.390708964240524</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0.3195261751916032</v>
      </c>
      <c r="AH521" s="304">
        <f t="shared" ca="1" si="260"/>
        <v>-9.4766048338451494</v>
      </c>
    </row>
    <row r="522" spans="1:34" x14ac:dyDescent="0.2">
      <c r="A522" s="347">
        <f t="shared" ca="1" si="238"/>
        <v>1E-4</v>
      </c>
      <c r="B522" s="304">
        <f t="shared" ca="1" si="239"/>
        <v>36.600400000000221</v>
      </c>
      <c r="D522" s="306">
        <f t="shared" ca="1" si="240"/>
        <v>-0.50373094172551791</v>
      </c>
      <c r="E522" s="307">
        <f t="shared" ca="1" si="241"/>
        <v>-0.34677703822559991</v>
      </c>
      <c r="F522" s="304">
        <f t="shared" ca="1" si="242"/>
        <v>0.61155472027627777</v>
      </c>
      <c r="G522" s="306">
        <f t="shared" ca="1" si="243"/>
        <v>5.3455206964686379</v>
      </c>
      <c r="H522" s="307">
        <f t="shared" ca="1" si="244"/>
        <v>-100.42334938615019</v>
      </c>
      <c r="I522" s="304">
        <f t="shared" ca="1" si="245"/>
        <v>100.5655194062516</v>
      </c>
      <c r="J522" s="306">
        <f t="shared" ca="1" si="246"/>
        <v>711.72888807733182</v>
      </c>
      <c r="K522" s="307">
        <f t="shared" ca="1" si="247"/>
        <v>-8.482249605285114</v>
      </c>
      <c r="L522" s="304">
        <f t="shared" ca="1" si="232"/>
        <v>711.779431201943</v>
      </c>
      <c r="M522" s="306">
        <f t="shared" ca="1" si="248"/>
        <v>-1.517616656958219</v>
      </c>
      <c r="N522" s="304">
        <f t="shared" ca="1" si="249"/>
        <v>-86.953029362459205</v>
      </c>
      <c r="P522" s="310">
        <f t="shared" ca="1" si="250"/>
        <v>23</v>
      </c>
      <c r="Q522" s="304">
        <f t="shared" ca="1" si="251"/>
        <v>0</v>
      </c>
      <c r="R522" s="306">
        <f t="shared" ca="1" si="252"/>
        <v>0</v>
      </c>
      <c r="S522" s="307">
        <f t="shared" ca="1" si="253"/>
        <v>2.6792999999999987</v>
      </c>
      <c r="T522" s="304">
        <f t="shared" ca="1" si="233"/>
        <v>26.283932999999987</v>
      </c>
      <c r="U522" s="311">
        <f t="shared" ca="1" si="234"/>
        <v>0</v>
      </c>
      <c r="V522" s="306">
        <f t="shared" ca="1" si="235"/>
        <v>1.2260395164485467</v>
      </c>
      <c r="W522" s="304">
        <f t="shared" ca="1" si="236"/>
        <v>25.390750596460727</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0.3195109068485511</v>
      </c>
      <c r="AH522" s="304">
        <f t="shared" ca="1" si="260"/>
        <v>-9.4766203725751268</v>
      </c>
    </row>
    <row r="523" spans="1:34" x14ac:dyDescent="0.2">
      <c r="A523" s="347">
        <f t="shared" ca="1" si="238"/>
        <v>1E-4</v>
      </c>
      <c r="B523" s="304">
        <f t="shared" ca="1" si="239"/>
        <v>36.600500000000224</v>
      </c>
      <c r="D523" s="306">
        <f t="shared" ca="1" si="240"/>
        <v>-0.50372686080151341</v>
      </c>
      <c r="E523" s="307">
        <f t="shared" ca="1" si="241"/>
        <v>-0.34676126053032164</v>
      </c>
      <c r="F523" s="304">
        <f t="shared" ca="1" si="242"/>
        <v>0.61154241234564011</v>
      </c>
      <c r="G523" s="306">
        <f t="shared" ca="1" si="243"/>
        <v>5.3454703237825578</v>
      </c>
      <c r="H523" s="307">
        <f t="shared" ca="1" si="244"/>
        <v>-100.42338406227624</v>
      </c>
      <c r="I523" s="304">
        <f t="shared" ca="1" si="245"/>
        <v>100.56555135582899</v>
      </c>
      <c r="J523" s="306">
        <f t="shared" ca="1" si="246"/>
        <v>711.72888807733182</v>
      </c>
      <c r="K523" s="307">
        <f t="shared" ca="1" si="247"/>
        <v>-8.4922919419575358</v>
      </c>
      <c r="L523" s="304">
        <f t="shared" ca="1" si="232"/>
        <v>711.77955094693652</v>
      </c>
      <c r="M523" s="306">
        <f t="shared" ca="1" si="248"/>
        <v>-1.5176171754724528</v>
      </c>
      <c r="N523" s="304">
        <f t="shared" ca="1" si="249"/>
        <v>-86.953059071136423</v>
      </c>
      <c r="P523" s="310">
        <f t="shared" ca="1" si="250"/>
        <v>23</v>
      </c>
      <c r="Q523" s="304">
        <f t="shared" ca="1" si="251"/>
        <v>0</v>
      </c>
      <c r="R523" s="306">
        <f t="shared" ca="1" si="252"/>
        <v>0</v>
      </c>
      <c r="S523" s="307">
        <f t="shared" ca="1" si="253"/>
        <v>2.6792999999999987</v>
      </c>
      <c r="T523" s="304">
        <f t="shared" ca="1" si="233"/>
        <v>26.283932999999987</v>
      </c>
      <c r="U523" s="311">
        <f t="shared" ca="1" si="234"/>
        <v>0</v>
      </c>
      <c r="V523" s="306">
        <f t="shared" ca="1" si="235"/>
        <v>1.2260407476795467</v>
      </c>
      <c r="W523" s="304">
        <f t="shared" ca="1" si="236"/>
        <v>25.390792227981912</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0.31949563876104392</v>
      </c>
      <c r="AH523" s="304">
        <f t="shared" ca="1" si="260"/>
        <v>-9.4766359110442053</v>
      </c>
    </row>
    <row r="524" spans="1:34" x14ac:dyDescent="0.2">
      <c r="A524" s="347">
        <f t="shared" ca="1" si="238"/>
        <v>1E-4</v>
      </c>
      <c r="B524" s="304">
        <f t="shared" ca="1" si="239"/>
        <v>36.600600000000227</v>
      </c>
      <c r="D524" s="306">
        <f t="shared" ca="1" si="240"/>
        <v>-0.50372277989677106</v>
      </c>
      <c r="E524" s="307">
        <f t="shared" ca="1" si="241"/>
        <v>-0.34674548309988396</v>
      </c>
      <c r="F524" s="304">
        <f t="shared" ca="1" si="242"/>
        <v>0.61153010476762537</v>
      </c>
      <c r="G524" s="306">
        <f t="shared" ca="1" si="243"/>
        <v>5.3454199515045682</v>
      </c>
      <c r="H524" s="307">
        <f t="shared" ca="1" si="244"/>
        <v>-100.42341873682456</v>
      </c>
      <c r="I524" s="304">
        <f t="shared" ca="1" si="245"/>
        <v>100.56558330387961</v>
      </c>
      <c r="J524" s="306">
        <f t="shared" ca="1" si="246"/>
        <v>711.72888807733182</v>
      </c>
      <c r="K524" s="307">
        <f t="shared" ca="1" si="247"/>
        <v>-8.5023342820974914</v>
      </c>
      <c r="L524" s="304">
        <f t="shared" ca="1" si="232"/>
        <v>711.77967083363626</v>
      </c>
      <c r="M524" s="306">
        <f t="shared" ca="1" si="248"/>
        <v>-1.5176176939814709</v>
      </c>
      <c r="N524" s="304">
        <f t="shared" ca="1" si="249"/>
        <v>-86.9530887795148</v>
      </c>
      <c r="P524" s="310">
        <f t="shared" ca="1" si="250"/>
        <v>23</v>
      </c>
      <c r="Q524" s="304">
        <f t="shared" ca="1" si="251"/>
        <v>0</v>
      </c>
      <c r="R524" s="306">
        <f t="shared" ca="1" si="252"/>
        <v>0</v>
      </c>
      <c r="S524" s="307">
        <f t="shared" ca="1" si="253"/>
        <v>2.6792999999999987</v>
      </c>
      <c r="T524" s="304">
        <f t="shared" ca="1" si="233"/>
        <v>26.283932999999987</v>
      </c>
      <c r="U524" s="311">
        <f t="shared" ca="1" si="234"/>
        <v>0</v>
      </c>
      <c r="V524" s="306">
        <f t="shared" ca="1" si="235"/>
        <v>1.2260419789122083</v>
      </c>
      <c r="W524" s="304">
        <f t="shared" ca="1" si="236"/>
        <v>25.390833858804072</v>
      </c>
      <c r="Y524" s="314" t="str">
        <f t="shared" ca="1" si="254"/>
        <v/>
      </c>
      <c r="Z524" s="315" t="str">
        <f t="shared" ca="1" si="255"/>
        <v/>
      </c>
      <c r="AA524" s="316" t="str">
        <f t="shared" ca="1" si="256"/>
        <v/>
      </c>
      <c r="AC524" s="310" t="e">
        <f t="shared" ca="1" si="257"/>
        <v>#N/A</v>
      </c>
      <c r="AD524" s="323" t="e">
        <f t="shared" ca="1" si="258"/>
        <v>#N/A</v>
      </c>
      <c r="AE524" s="324" t="e">
        <f t="shared" ca="1" si="237"/>
        <v>#N/A</v>
      </c>
      <c r="AG524" s="306">
        <f t="shared" ca="1" si="259"/>
        <v>0.31948037092907988</v>
      </c>
      <c r="AH524" s="304">
        <f t="shared" ca="1" si="260"/>
        <v>-9.4766514492523886</v>
      </c>
    </row>
    <row r="525" spans="1:34" x14ac:dyDescent="0.2">
      <c r="A525" s="347">
        <f t="shared" ca="1" si="238"/>
        <v>1E-4</v>
      </c>
      <c r="B525" s="304">
        <f t="shared" ca="1" si="239"/>
        <v>36.600700000000231</v>
      </c>
      <c r="D525" s="306">
        <f t="shared" ca="1" si="240"/>
        <v>-0.50371869901129152</v>
      </c>
      <c r="E525" s="307">
        <f t="shared" ca="1" si="241"/>
        <v>-0.3467297059342922</v>
      </c>
      <c r="F525" s="304">
        <f t="shared" ca="1" si="242"/>
        <v>0.61151779754223734</v>
      </c>
      <c r="G525" s="306">
        <f t="shared" ca="1" si="243"/>
        <v>5.3453695796346672</v>
      </c>
      <c r="H525" s="307">
        <f t="shared" ca="1" si="244"/>
        <v>-100.42345340979516</v>
      </c>
      <c r="I525" s="304">
        <f t="shared" ca="1" si="245"/>
        <v>100.56561525040347</v>
      </c>
      <c r="J525" s="306">
        <f t="shared" ca="1" si="246"/>
        <v>711.72888807733182</v>
      </c>
      <c r="K525" s="307">
        <f t="shared" ca="1" si="247"/>
        <v>-8.5123766257048228</v>
      </c>
      <c r="L525" s="304">
        <f t="shared" ca="1" si="232"/>
        <v>711.77979086204255</v>
      </c>
      <c r="M525" s="306">
        <f t="shared" ca="1" si="248"/>
        <v>-1.5176182124852737</v>
      </c>
      <c r="N525" s="304">
        <f t="shared" ca="1" si="249"/>
        <v>-86.953118487594367</v>
      </c>
      <c r="P525" s="310">
        <f t="shared" ca="1" si="250"/>
        <v>23</v>
      </c>
      <c r="Q525" s="304">
        <f t="shared" ca="1" si="251"/>
        <v>0</v>
      </c>
      <c r="R525" s="306">
        <f t="shared" ca="1" si="252"/>
        <v>0</v>
      </c>
      <c r="S525" s="307">
        <f t="shared" ca="1" si="253"/>
        <v>2.6792999999999987</v>
      </c>
      <c r="T525" s="304">
        <f t="shared" ca="1" si="233"/>
        <v>26.283932999999987</v>
      </c>
      <c r="U525" s="311">
        <f t="shared" ca="1" si="234"/>
        <v>0</v>
      </c>
      <c r="V525" s="306">
        <f t="shared" ca="1" si="235"/>
        <v>1.2260432101465324</v>
      </c>
      <c r="W525" s="304">
        <f t="shared" ca="1" si="236"/>
        <v>25.390875488927229</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0.31946510335265899</v>
      </c>
      <c r="AH525" s="304">
        <f t="shared" ca="1" si="260"/>
        <v>-9.4766669871996729</v>
      </c>
    </row>
    <row r="526" spans="1:34" x14ac:dyDescent="0.2">
      <c r="A526" s="347">
        <f t="shared" ca="1" si="238"/>
        <v>1E-4</v>
      </c>
      <c r="B526" s="304">
        <f t="shared" ca="1" si="239"/>
        <v>36.600800000000234</v>
      </c>
      <c r="D526" s="306">
        <f t="shared" ca="1" si="240"/>
        <v>-0.5037146181450739</v>
      </c>
      <c r="E526" s="307">
        <f t="shared" ca="1" si="241"/>
        <v>-0.34671392903353393</v>
      </c>
      <c r="F526" s="304">
        <f t="shared" ca="1" si="242"/>
        <v>0.61150549066946902</v>
      </c>
      <c r="G526" s="306">
        <f t="shared" ca="1" si="243"/>
        <v>5.3453192081728531</v>
      </c>
      <c r="H526" s="307">
        <f t="shared" ca="1" si="244"/>
        <v>-100.42348808118805</v>
      </c>
      <c r="I526" s="304">
        <f t="shared" ca="1" si="245"/>
        <v>100.56564719540059</v>
      </c>
      <c r="J526" s="306">
        <f t="shared" ca="1" si="246"/>
        <v>711.72888807733182</v>
      </c>
      <c r="K526" s="307">
        <f t="shared" ca="1" si="247"/>
        <v>-8.5224189727793718</v>
      </c>
      <c r="L526" s="304">
        <f t="shared" ca="1" si="232"/>
        <v>711.77991103215516</v>
      </c>
      <c r="M526" s="306">
        <f t="shared" ca="1" si="248"/>
        <v>-1.5176187309838609</v>
      </c>
      <c r="N526" s="304">
        <f t="shared" ca="1" si="249"/>
        <v>-86.953148195375093</v>
      </c>
      <c r="P526" s="310">
        <f t="shared" ca="1" si="250"/>
        <v>23</v>
      </c>
      <c r="Q526" s="304">
        <f t="shared" ca="1" si="251"/>
        <v>0</v>
      </c>
      <c r="R526" s="306">
        <f t="shared" ca="1" si="252"/>
        <v>0</v>
      </c>
      <c r="S526" s="307">
        <f t="shared" ca="1" si="253"/>
        <v>2.6792999999999987</v>
      </c>
      <c r="T526" s="304">
        <f t="shared" ca="1" si="233"/>
        <v>26.283932999999987</v>
      </c>
      <c r="U526" s="311">
        <f t="shared" ca="1" si="234"/>
        <v>0</v>
      </c>
      <c r="V526" s="306">
        <f t="shared" ca="1" si="235"/>
        <v>1.226044441382518</v>
      </c>
      <c r="W526" s="304">
        <f t="shared" ca="1" si="236"/>
        <v>25.390917118351382</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0.31944983603177768</v>
      </c>
      <c r="AH526" s="304">
        <f t="shared" ca="1" si="260"/>
        <v>-9.4766825248860673</v>
      </c>
    </row>
    <row r="527" spans="1:34" x14ac:dyDescent="0.2">
      <c r="A527" s="347">
        <f t="shared" ca="1" si="238"/>
        <v>1E-4</v>
      </c>
      <c r="B527" s="304">
        <f t="shared" ca="1" si="239"/>
        <v>36.600900000000237</v>
      </c>
      <c r="D527" s="306">
        <f t="shared" ca="1" si="240"/>
        <v>-0.50371053729812065</v>
      </c>
      <c r="E527" s="307">
        <f t="shared" ca="1" si="241"/>
        <v>-0.34669815239761448</v>
      </c>
      <c r="F527" s="304">
        <f t="shared" ca="1" si="242"/>
        <v>0.61149318414932552</v>
      </c>
      <c r="G527" s="306">
        <f t="shared" ca="1" si="243"/>
        <v>5.3452688371191233</v>
      </c>
      <c r="H527" s="307">
        <f t="shared" ca="1" si="244"/>
        <v>-100.42352275100329</v>
      </c>
      <c r="I527" s="304">
        <f t="shared" ca="1" si="245"/>
        <v>100.56567913887099</v>
      </c>
      <c r="J527" s="306">
        <f t="shared" ca="1" si="246"/>
        <v>711.72888807733182</v>
      </c>
      <c r="K527" s="307">
        <f t="shared" ca="1" si="247"/>
        <v>-8.5324613233209821</v>
      </c>
      <c r="L527" s="304">
        <f t="shared" ca="1" si="232"/>
        <v>711.78003134397431</v>
      </c>
      <c r="M527" s="306">
        <f t="shared" ca="1" si="248"/>
        <v>-1.5176192494772327</v>
      </c>
      <c r="N527" s="304">
        <f t="shared" ca="1" si="249"/>
        <v>-86.953177902857007</v>
      </c>
      <c r="P527" s="310">
        <f t="shared" ca="1" si="250"/>
        <v>23</v>
      </c>
      <c r="Q527" s="304">
        <f t="shared" ca="1" si="251"/>
        <v>0</v>
      </c>
      <c r="R527" s="306">
        <f t="shared" ca="1" si="252"/>
        <v>0</v>
      </c>
      <c r="S527" s="307">
        <f t="shared" ca="1" si="253"/>
        <v>2.6792999999999987</v>
      </c>
      <c r="T527" s="304">
        <f t="shared" ca="1" si="233"/>
        <v>26.283932999999987</v>
      </c>
      <c r="U527" s="311">
        <f t="shared" ca="1" si="234"/>
        <v>0</v>
      </c>
      <c r="V527" s="306">
        <f t="shared" ca="1" si="235"/>
        <v>1.2260456726201663</v>
      </c>
      <c r="W527" s="304">
        <f t="shared" ca="1" si="236"/>
        <v>25.390958747076553</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0.31943456896643063</v>
      </c>
      <c r="AH527" s="304">
        <f t="shared" ca="1" si="260"/>
        <v>-9.4766980623115717</v>
      </c>
    </row>
    <row r="528" spans="1:34" x14ac:dyDescent="0.2">
      <c r="A528" s="347">
        <f t="shared" ca="1" si="238"/>
        <v>1E-4</v>
      </c>
      <c r="B528" s="304">
        <f t="shared" ca="1" si="239"/>
        <v>36.601000000000241</v>
      </c>
      <c r="D528" s="306">
        <f t="shared" ca="1" si="240"/>
        <v>-0.503706456470431</v>
      </c>
      <c r="E528" s="307">
        <f t="shared" ca="1" si="241"/>
        <v>-0.34668237602652319</v>
      </c>
      <c r="F528" s="304">
        <f t="shared" ca="1" si="242"/>
        <v>0.61148087798180073</v>
      </c>
      <c r="G528" s="306">
        <f t="shared" ca="1" si="243"/>
        <v>5.3452184664734759</v>
      </c>
      <c r="H528" s="307">
        <f t="shared" ca="1" si="244"/>
        <v>-100.42355741924089</v>
      </c>
      <c r="I528" s="304">
        <f t="shared" ca="1" si="245"/>
        <v>100.56571108081472</v>
      </c>
      <c r="J528" s="306">
        <f t="shared" ca="1" si="246"/>
        <v>711.72888807733182</v>
      </c>
      <c r="K528" s="307">
        <f t="shared" ca="1" si="247"/>
        <v>-8.5425036773294938</v>
      </c>
      <c r="L528" s="304">
        <f t="shared" ca="1" si="232"/>
        <v>711.78015179750014</v>
      </c>
      <c r="M528" s="306">
        <f t="shared" ca="1" si="248"/>
        <v>-1.5176197679653891</v>
      </c>
      <c r="N528" s="304">
        <f t="shared" ca="1" si="249"/>
        <v>-86.953207610040096</v>
      </c>
      <c r="P528" s="310">
        <f t="shared" ca="1" si="250"/>
        <v>23</v>
      </c>
      <c r="Q528" s="304">
        <f t="shared" ca="1" si="251"/>
        <v>0</v>
      </c>
      <c r="R528" s="306">
        <f t="shared" ca="1" si="252"/>
        <v>0</v>
      </c>
      <c r="S528" s="307">
        <f t="shared" ca="1" si="253"/>
        <v>2.6792999999999987</v>
      </c>
      <c r="T528" s="304">
        <f t="shared" ca="1" si="233"/>
        <v>26.283932999999987</v>
      </c>
      <c r="U528" s="311">
        <f t="shared" ca="1" si="234"/>
        <v>0</v>
      </c>
      <c r="V528" s="306">
        <f t="shared" ca="1" si="235"/>
        <v>1.2260469038594766</v>
      </c>
      <c r="W528" s="304">
        <f t="shared" ca="1" si="236"/>
        <v>25.391000375102752</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0.31941930215661429</v>
      </c>
      <c r="AH528" s="304">
        <f t="shared" ca="1" si="260"/>
        <v>-9.4767135994761933</v>
      </c>
    </row>
    <row r="529" spans="1:34" x14ac:dyDescent="0.2">
      <c r="A529" s="347">
        <f t="shared" ca="1" si="238"/>
        <v>1E-4</v>
      </c>
      <c r="B529" s="304">
        <f t="shared" ca="1" si="239"/>
        <v>36.601100000000244</v>
      </c>
      <c r="D529" s="306">
        <f t="shared" ca="1" si="240"/>
        <v>-0.50370237566200571</v>
      </c>
      <c r="E529" s="307">
        <f t="shared" ca="1" si="241"/>
        <v>-0.34666659992025473</v>
      </c>
      <c r="F529" s="304">
        <f t="shared" ca="1" si="242"/>
        <v>0.61146857216689254</v>
      </c>
      <c r="G529" s="306">
        <f t="shared" ca="1" si="243"/>
        <v>5.34516809623591</v>
      </c>
      <c r="H529" s="307">
        <f t="shared" ca="1" si="244"/>
        <v>-100.42359208590088</v>
      </c>
      <c r="I529" s="304">
        <f t="shared" ca="1" si="245"/>
        <v>100.5657430212318</v>
      </c>
      <c r="J529" s="306">
        <f t="shared" ca="1" si="246"/>
        <v>711.72888807733182</v>
      </c>
      <c r="K529" s="307">
        <f t="shared" ca="1" si="247"/>
        <v>-8.5525460348047506</v>
      </c>
      <c r="L529" s="304">
        <f t="shared" ca="1" si="232"/>
        <v>711.78027239273263</v>
      </c>
      <c r="M529" s="306">
        <f t="shared" ca="1" si="248"/>
        <v>-1.5176202864483304</v>
      </c>
      <c r="N529" s="304">
        <f t="shared" ca="1" si="249"/>
        <v>-86.953237316924373</v>
      </c>
      <c r="P529" s="310">
        <f t="shared" ca="1" si="250"/>
        <v>23</v>
      </c>
      <c r="Q529" s="304">
        <f t="shared" ca="1" si="251"/>
        <v>0</v>
      </c>
      <c r="R529" s="306">
        <f t="shared" ca="1" si="252"/>
        <v>0</v>
      </c>
      <c r="S529" s="307">
        <f t="shared" ca="1" si="253"/>
        <v>2.6792999999999987</v>
      </c>
      <c r="T529" s="304">
        <f t="shared" ca="1" si="233"/>
        <v>26.283932999999987</v>
      </c>
      <c r="U529" s="311">
        <f t="shared" ca="1" si="234"/>
        <v>0</v>
      </c>
      <c r="V529" s="306">
        <f t="shared" ca="1" si="235"/>
        <v>1.2260481351004484</v>
      </c>
      <c r="W529" s="304">
        <f t="shared" ca="1" si="236"/>
        <v>25.391042002429973</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0.31940403560232333</v>
      </c>
      <c r="AH529" s="304">
        <f t="shared" ca="1" si="260"/>
        <v>-9.4767291363799373</v>
      </c>
    </row>
    <row r="530" spans="1:34" x14ac:dyDescent="0.2">
      <c r="A530" s="347">
        <f t="shared" ca="1" si="238"/>
        <v>1E-4</v>
      </c>
      <c r="B530" s="304">
        <f t="shared" ca="1" si="239"/>
        <v>36.601200000000247</v>
      </c>
      <c r="D530" s="306">
        <f t="shared" ca="1" si="240"/>
        <v>-0.50369829487284301</v>
      </c>
      <c r="E530" s="307">
        <f t="shared" ca="1" si="241"/>
        <v>-0.34665082407881442</v>
      </c>
      <c r="F530" s="304">
        <f t="shared" ca="1" si="242"/>
        <v>0.61145626670460307</v>
      </c>
      <c r="G530" s="306">
        <f t="shared" ca="1" si="243"/>
        <v>5.3451177264064231</v>
      </c>
      <c r="H530" s="307">
        <f t="shared" ca="1" si="244"/>
        <v>-100.42362675098329</v>
      </c>
      <c r="I530" s="304">
        <f t="shared" ca="1" si="245"/>
        <v>100.56577496012224</v>
      </c>
      <c r="J530" s="306">
        <f t="shared" ca="1" si="246"/>
        <v>711.72888807733182</v>
      </c>
      <c r="K530" s="307">
        <f t="shared" ca="1" si="247"/>
        <v>-8.5625883957465945</v>
      </c>
      <c r="L530" s="304">
        <f t="shared" ca="1" si="232"/>
        <v>711.78039312967178</v>
      </c>
      <c r="M530" s="306">
        <f t="shared" ca="1" si="248"/>
        <v>-1.5176208049260562</v>
      </c>
      <c r="N530" s="304">
        <f t="shared" ca="1" si="249"/>
        <v>-86.953267023509838</v>
      </c>
      <c r="P530" s="310">
        <f t="shared" ca="1" si="250"/>
        <v>23</v>
      </c>
      <c r="Q530" s="304">
        <f t="shared" ca="1" si="251"/>
        <v>0</v>
      </c>
      <c r="R530" s="306">
        <f t="shared" ca="1" si="252"/>
        <v>0</v>
      </c>
      <c r="S530" s="307">
        <f t="shared" ca="1" si="253"/>
        <v>2.6792999999999987</v>
      </c>
      <c r="T530" s="304">
        <f t="shared" ca="1" si="233"/>
        <v>26.283932999999987</v>
      </c>
      <c r="U530" s="311">
        <f t="shared" ca="1" si="234"/>
        <v>0</v>
      </c>
      <c r="V530" s="306">
        <f t="shared" ca="1" si="235"/>
        <v>1.2260493663430827</v>
      </c>
      <c r="W530" s="304">
        <f t="shared" ca="1" si="236"/>
        <v>25.391083629058237</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0.3193887693035613</v>
      </c>
      <c r="AH530" s="304">
        <f t="shared" ca="1" si="260"/>
        <v>-9.4767446730227984</v>
      </c>
    </row>
    <row r="531" spans="1:34" x14ac:dyDescent="0.2">
      <c r="A531" s="347">
        <f t="shared" ca="1" si="238"/>
        <v>1E-4</v>
      </c>
      <c r="B531" s="304">
        <f t="shared" ca="1" si="239"/>
        <v>36.601300000000251</v>
      </c>
      <c r="D531" s="306">
        <f t="shared" ca="1" si="240"/>
        <v>-0.50369421410294657</v>
      </c>
      <c r="E531" s="307">
        <f t="shared" ca="1" si="241"/>
        <v>-0.34663504850219162</v>
      </c>
      <c r="F531" s="304">
        <f t="shared" ca="1" si="242"/>
        <v>0.61144396159492953</v>
      </c>
      <c r="G531" s="306">
        <f t="shared" ca="1" si="243"/>
        <v>5.3450673569850125</v>
      </c>
      <c r="H531" s="307">
        <f t="shared" ca="1" si="244"/>
        <v>-100.42366141448814</v>
      </c>
      <c r="I531" s="304">
        <f t="shared" ca="1" si="245"/>
        <v>100.56580689748608</v>
      </c>
      <c r="J531" s="306">
        <f t="shared" ca="1" si="246"/>
        <v>711.72888807733182</v>
      </c>
      <c r="K531" s="307">
        <f t="shared" ca="1" si="247"/>
        <v>-8.5726307601548672</v>
      </c>
      <c r="L531" s="304">
        <f t="shared" ca="1" si="232"/>
        <v>711.78051400831782</v>
      </c>
      <c r="M531" s="306">
        <f t="shared" ca="1" si="248"/>
        <v>-1.5176213233985669</v>
      </c>
      <c r="N531" s="304">
        <f t="shared" ca="1" si="249"/>
        <v>-86.953296729796492</v>
      </c>
      <c r="P531" s="310">
        <f t="shared" ca="1" si="250"/>
        <v>23</v>
      </c>
      <c r="Q531" s="304">
        <f t="shared" ca="1" si="251"/>
        <v>0</v>
      </c>
      <c r="R531" s="306">
        <f t="shared" ca="1" si="252"/>
        <v>0</v>
      </c>
      <c r="S531" s="307">
        <f t="shared" ca="1" si="253"/>
        <v>2.6792999999999987</v>
      </c>
      <c r="T531" s="304">
        <f t="shared" ca="1" si="233"/>
        <v>26.283932999999987</v>
      </c>
      <c r="U531" s="311">
        <f t="shared" ca="1" si="234"/>
        <v>0</v>
      </c>
      <c r="V531" s="306">
        <f t="shared" ca="1" si="235"/>
        <v>1.2260505975873786</v>
      </c>
      <c r="W531" s="304">
        <f t="shared" ca="1" si="236"/>
        <v>25.391125254987561</v>
      </c>
      <c r="Y531" s="314" t="str">
        <f t="shared" ca="1" si="254"/>
        <v/>
      </c>
      <c r="Z531" s="315" t="str">
        <f t="shared" ca="1" si="255"/>
        <v/>
      </c>
      <c r="AA531" s="316" t="str">
        <f t="shared" ca="1" si="256"/>
        <v/>
      </c>
      <c r="AC531" s="310" t="e">
        <f t="shared" ca="1" si="257"/>
        <v>#N/A</v>
      </c>
      <c r="AD531" s="323" t="e">
        <f t="shared" ca="1" si="258"/>
        <v>#N/A</v>
      </c>
      <c r="AE531" s="324" t="e">
        <f t="shared" ca="1" si="237"/>
        <v>#N/A</v>
      </c>
      <c r="AG531" s="306">
        <f t="shared" ca="1" si="259"/>
        <v>0.31937350326031755</v>
      </c>
      <c r="AH531" s="304">
        <f t="shared" ca="1" si="260"/>
        <v>-9.4767602094047891</v>
      </c>
    </row>
    <row r="532" spans="1:34" x14ac:dyDescent="0.2">
      <c r="A532" s="347">
        <f t="shared" ca="1" si="238"/>
        <v>1E-4</v>
      </c>
      <c r="B532" s="304">
        <f t="shared" ca="1" si="239"/>
        <v>36.601400000000254</v>
      </c>
      <c r="D532" s="306">
        <f t="shared" ca="1" si="240"/>
        <v>-0.50369013335231472</v>
      </c>
      <c r="E532" s="307">
        <f t="shared" ca="1" si="241"/>
        <v>-0.34661927319038277</v>
      </c>
      <c r="F532" s="304">
        <f t="shared" ca="1" si="242"/>
        <v>0.61143165683786915</v>
      </c>
      <c r="G532" s="306">
        <f t="shared" ca="1" si="243"/>
        <v>5.3450169879716771</v>
      </c>
      <c r="H532" s="307">
        <f t="shared" ca="1" si="244"/>
        <v>-100.42369607641545</v>
      </c>
      <c r="I532" s="304">
        <f t="shared" ca="1" si="245"/>
        <v>100.56583883332335</v>
      </c>
      <c r="J532" s="306">
        <f t="shared" ca="1" si="246"/>
        <v>711.72888807733182</v>
      </c>
      <c r="K532" s="307">
        <f t="shared" ca="1" si="247"/>
        <v>-8.5826731280294126</v>
      </c>
      <c r="L532" s="304">
        <f t="shared" ca="1" si="232"/>
        <v>711.78063502867076</v>
      </c>
      <c r="M532" s="306">
        <f t="shared" ca="1" si="248"/>
        <v>-1.5176218418658627</v>
      </c>
      <c r="N532" s="304">
        <f t="shared" ca="1" si="249"/>
        <v>-86.953326435784362</v>
      </c>
      <c r="P532" s="310">
        <f t="shared" ca="1" si="250"/>
        <v>23</v>
      </c>
      <c r="Q532" s="304">
        <f t="shared" ca="1" si="251"/>
        <v>0</v>
      </c>
      <c r="R532" s="306">
        <f t="shared" ca="1" si="252"/>
        <v>0</v>
      </c>
      <c r="S532" s="307">
        <f t="shared" ca="1" si="253"/>
        <v>2.6792999999999987</v>
      </c>
      <c r="T532" s="304">
        <f t="shared" ca="1" si="233"/>
        <v>26.283932999999987</v>
      </c>
      <c r="U532" s="311">
        <f t="shared" ca="1" si="234"/>
        <v>0</v>
      </c>
      <c r="V532" s="306">
        <f t="shared" ca="1" si="235"/>
        <v>1.2260518288333366</v>
      </c>
      <c r="W532" s="304">
        <f t="shared" ca="1" si="236"/>
        <v>25.391166880217945</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0.31935823747259029</v>
      </c>
      <c r="AH532" s="304">
        <f t="shared" ca="1" si="260"/>
        <v>-9.4767757455259112</v>
      </c>
    </row>
    <row r="533" spans="1:34" x14ac:dyDescent="0.2">
      <c r="A533" s="347">
        <f t="shared" ca="1" si="238"/>
        <v>1E-4</v>
      </c>
      <c r="B533" s="304">
        <f t="shared" ca="1" si="239"/>
        <v>36.601500000000257</v>
      </c>
      <c r="D533" s="306">
        <f t="shared" ca="1" si="240"/>
        <v>-0.50368605262094635</v>
      </c>
      <c r="E533" s="307">
        <f t="shared" ca="1" si="241"/>
        <v>-0.34660349814338787</v>
      </c>
      <c r="F533" s="304">
        <f t="shared" ca="1" si="242"/>
        <v>0.61141935243342127</v>
      </c>
      <c r="G533" s="306">
        <f t="shared" ca="1" si="243"/>
        <v>5.3449666193664154</v>
      </c>
      <c r="H533" s="307">
        <f t="shared" ca="1" si="244"/>
        <v>-100.42373073676526</v>
      </c>
      <c r="I533" s="304">
        <f t="shared" ca="1" si="245"/>
        <v>100.56587076763405</v>
      </c>
      <c r="J533" s="306">
        <f t="shared" ca="1" si="246"/>
        <v>711.72888807733182</v>
      </c>
      <c r="K533" s="307">
        <f t="shared" ca="1" si="247"/>
        <v>-8.5927154993700725</v>
      </c>
      <c r="L533" s="304">
        <f t="shared" ca="1" si="232"/>
        <v>711.78075619073059</v>
      </c>
      <c r="M533" s="306">
        <f t="shared" ca="1" si="248"/>
        <v>-1.5176223603279433</v>
      </c>
      <c r="N533" s="304">
        <f t="shared" ca="1" si="249"/>
        <v>-86.953356141473407</v>
      </c>
      <c r="P533" s="310">
        <f t="shared" ca="1" si="250"/>
        <v>23</v>
      </c>
      <c r="Q533" s="304">
        <f t="shared" ca="1" si="251"/>
        <v>0</v>
      </c>
      <c r="R533" s="306">
        <f t="shared" ca="1" si="252"/>
        <v>0</v>
      </c>
      <c r="S533" s="307">
        <f t="shared" ca="1" si="253"/>
        <v>2.6792999999999987</v>
      </c>
      <c r="T533" s="304">
        <f t="shared" ca="1" si="233"/>
        <v>26.283932999999987</v>
      </c>
      <c r="U533" s="311">
        <f t="shared" ca="1" si="234"/>
        <v>0</v>
      </c>
      <c r="V533" s="306">
        <f t="shared" ca="1" si="235"/>
        <v>1.2260530600809569</v>
      </c>
      <c r="W533" s="304">
        <f t="shared" ca="1" si="236"/>
        <v>25.391208504749397</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0.31934297194037775</v>
      </c>
      <c r="AH533" s="304">
        <f t="shared" ca="1" si="260"/>
        <v>-9.4767912813861663</v>
      </c>
    </row>
    <row r="534" spans="1:34" x14ac:dyDescent="0.2">
      <c r="A534" s="347">
        <f t="shared" ca="1" si="238"/>
        <v>1E-4</v>
      </c>
      <c r="B534" s="304">
        <f t="shared" ca="1" si="239"/>
        <v>36.601600000000261</v>
      </c>
      <c r="D534" s="306">
        <f t="shared" ca="1" si="240"/>
        <v>-0.50368197190884434</v>
      </c>
      <c r="E534" s="307">
        <f t="shared" ca="1" si="241"/>
        <v>-0.34658772336119803</v>
      </c>
      <c r="F534" s="304">
        <f t="shared" ca="1" si="242"/>
        <v>0.61140704838158366</v>
      </c>
      <c r="G534" s="306">
        <f t="shared" ca="1" si="243"/>
        <v>5.3449162511692245</v>
      </c>
      <c r="H534" s="307">
        <f t="shared" ca="1" si="244"/>
        <v>-100.4237653955376</v>
      </c>
      <c r="I534" s="304">
        <f t="shared" ca="1" si="245"/>
        <v>100.56590270041825</v>
      </c>
      <c r="J534" s="306">
        <f t="shared" ca="1" si="246"/>
        <v>711.72888807733182</v>
      </c>
      <c r="K534" s="307">
        <f t="shared" ca="1" si="247"/>
        <v>-8.602757874176687</v>
      </c>
      <c r="L534" s="304">
        <f t="shared" ca="1" si="232"/>
        <v>711.78087749449753</v>
      </c>
      <c r="M534" s="306">
        <f t="shared" ca="1" si="248"/>
        <v>-1.5176228787848089</v>
      </c>
      <c r="N534" s="304">
        <f t="shared" ca="1" si="249"/>
        <v>-86.953385846863668</v>
      </c>
      <c r="P534" s="310">
        <f t="shared" ca="1" si="250"/>
        <v>23</v>
      </c>
      <c r="Q534" s="304">
        <f t="shared" ca="1" si="251"/>
        <v>0</v>
      </c>
      <c r="R534" s="306">
        <f t="shared" ca="1" si="252"/>
        <v>0</v>
      </c>
      <c r="S534" s="307">
        <f t="shared" ca="1" si="253"/>
        <v>2.6792999999999987</v>
      </c>
      <c r="T534" s="304">
        <f t="shared" ca="1" si="233"/>
        <v>26.283932999999987</v>
      </c>
      <c r="U534" s="311">
        <f t="shared" ca="1" si="234"/>
        <v>0</v>
      </c>
      <c r="V534" s="306">
        <f t="shared" ca="1" si="235"/>
        <v>1.226054291330239</v>
      </c>
      <c r="W534" s="304">
        <f t="shared" ca="1" si="236"/>
        <v>25.391250128581941</v>
      </c>
      <c r="Y534" s="314" t="str">
        <f t="shared" ca="1" si="254"/>
        <v/>
      </c>
      <c r="Z534" s="315" t="str">
        <f t="shared" ca="1" si="255"/>
        <v/>
      </c>
      <c r="AA534" s="316" t="str">
        <f t="shared" ca="1" si="256"/>
        <v/>
      </c>
      <c r="AC534" s="310" t="e">
        <f t="shared" ca="1" si="257"/>
        <v>#N/A</v>
      </c>
      <c r="AD534" s="323" t="e">
        <f t="shared" ca="1" si="258"/>
        <v>#N/A</v>
      </c>
      <c r="AE534" s="324" t="e">
        <f t="shared" ca="1" si="237"/>
        <v>#N/A</v>
      </c>
      <c r="AG534" s="306">
        <f t="shared" ca="1" si="259"/>
        <v>0.31932770666367283</v>
      </c>
      <c r="AH534" s="304">
        <f t="shared" ca="1" si="260"/>
        <v>-9.4768068169855599</v>
      </c>
    </row>
    <row r="535" spans="1:34" x14ac:dyDescent="0.2">
      <c r="A535" s="347">
        <f t="shared" ca="1" si="238"/>
        <v>1E-4</v>
      </c>
      <c r="B535" s="304">
        <f t="shared" ca="1" si="239"/>
        <v>36.601700000000264</v>
      </c>
      <c r="D535" s="306">
        <f t="shared" ca="1" si="240"/>
        <v>-0.50367789121600759</v>
      </c>
      <c r="E535" s="307">
        <f t="shared" ca="1" si="241"/>
        <v>-0.34657194884381148</v>
      </c>
      <c r="F535" s="304">
        <f t="shared" ca="1" si="242"/>
        <v>0.61139474468235488</v>
      </c>
      <c r="G535" s="306">
        <f t="shared" ca="1" si="243"/>
        <v>5.3448658833801028</v>
      </c>
      <c r="H535" s="307">
        <f t="shared" ca="1" si="244"/>
        <v>-100.42380005273249</v>
      </c>
      <c r="I535" s="304">
        <f t="shared" ca="1" si="245"/>
        <v>100.56593463167593</v>
      </c>
      <c r="J535" s="306">
        <f t="shared" ca="1" si="246"/>
        <v>711.72888807733182</v>
      </c>
      <c r="K535" s="307">
        <f t="shared" ca="1" si="247"/>
        <v>-8.6128002524490999</v>
      </c>
      <c r="L535" s="304">
        <f t="shared" ca="1" si="232"/>
        <v>711.78099893997148</v>
      </c>
      <c r="M535" s="306">
        <f t="shared" ca="1" si="248"/>
        <v>-1.5176233972364597</v>
      </c>
      <c r="N535" s="304">
        <f t="shared" ca="1" si="249"/>
        <v>-86.953415551955146</v>
      </c>
      <c r="P535" s="310">
        <f t="shared" ca="1" si="250"/>
        <v>23</v>
      </c>
      <c r="Q535" s="304">
        <f t="shared" ca="1" si="251"/>
        <v>0</v>
      </c>
      <c r="R535" s="306">
        <f t="shared" ca="1" si="252"/>
        <v>0</v>
      </c>
      <c r="S535" s="307">
        <f t="shared" ca="1" si="253"/>
        <v>2.6792999999999987</v>
      </c>
      <c r="T535" s="304">
        <f t="shared" ca="1" si="233"/>
        <v>26.283932999999987</v>
      </c>
      <c r="U535" s="311">
        <f t="shared" ca="1" si="234"/>
        <v>0</v>
      </c>
      <c r="V535" s="306">
        <f t="shared" ca="1" si="235"/>
        <v>1.2260555225811827</v>
      </c>
      <c r="W535" s="304">
        <f t="shared" ca="1" si="236"/>
        <v>25.391291751715556</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0.31931244164247374</v>
      </c>
      <c r="AH535" s="304">
        <f t="shared" ca="1" si="260"/>
        <v>-9.4768223523240973</v>
      </c>
    </row>
    <row r="536" spans="1:34" x14ac:dyDescent="0.2">
      <c r="A536" s="347">
        <f t="shared" ca="1" si="238"/>
        <v>1E-4</v>
      </c>
      <c r="B536" s="304">
        <f t="shared" ca="1" si="239"/>
        <v>36.601800000000267</v>
      </c>
      <c r="D536" s="306">
        <f t="shared" ca="1" si="240"/>
        <v>-0.50367381054243654</v>
      </c>
      <c r="E536" s="307">
        <f t="shared" ca="1" si="241"/>
        <v>-0.34655617459123</v>
      </c>
      <c r="F536" s="304">
        <f t="shared" ca="1" si="242"/>
        <v>0.6113824413357366</v>
      </c>
      <c r="G536" s="306">
        <f t="shared" ca="1" si="243"/>
        <v>5.3448155159990485</v>
      </c>
      <c r="H536" s="307">
        <f t="shared" ca="1" si="244"/>
        <v>-100.42383470834994</v>
      </c>
      <c r="I536" s="304">
        <f t="shared" ca="1" si="245"/>
        <v>100.56596656140711</v>
      </c>
      <c r="J536" s="306">
        <f t="shared" ca="1" si="246"/>
        <v>711.72888807733182</v>
      </c>
      <c r="K536" s="307">
        <f t="shared" ca="1" si="247"/>
        <v>-8.6228426341871547</v>
      </c>
      <c r="L536" s="304">
        <f t="shared" ca="1" si="232"/>
        <v>711.78112052715267</v>
      </c>
      <c r="M536" s="306">
        <f t="shared" ca="1" si="248"/>
        <v>-1.5176239156828957</v>
      </c>
      <c r="N536" s="304">
        <f t="shared" ca="1" si="249"/>
        <v>-86.953445256747827</v>
      </c>
      <c r="P536" s="310">
        <f t="shared" ca="1" si="250"/>
        <v>23</v>
      </c>
      <c r="Q536" s="304">
        <f t="shared" ca="1" si="251"/>
        <v>0</v>
      </c>
      <c r="R536" s="306">
        <f t="shared" ca="1" si="252"/>
        <v>0</v>
      </c>
      <c r="S536" s="307">
        <f t="shared" ca="1" si="253"/>
        <v>2.6792999999999987</v>
      </c>
      <c r="T536" s="304">
        <f t="shared" ca="1" si="233"/>
        <v>26.283932999999987</v>
      </c>
      <c r="U536" s="311">
        <f t="shared" ca="1" si="234"/>
        <v>0</v>
      </c>
      <c r="V536" s="306">
        <f t="shared" ca="1" si="235"/>
        <v>1.2260567538337888</v>
      </c>
      <c r="W536" s="304">
        <f t="shared" ca="1" si="236"/>
        <v>25.391333374150275</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0.31929717687678405</v>
      </c>
      <c r="AH536" s="304">
        <f t="shared" ca="1" si="260"/>
        <v>-9.4768378874017731</v>
      </c>
    </row>
    <row r="537" spans="1:34" x14ac:dyDescent="0.2">
      <c r="A537" s="347">
        <f t="shared" ca="1" si="238"/>
        <v>1E-4</v>
      </c>
      <c r="B537" s="304">
        <f t="shared" ca="1" si="239"/>
        <v>36.601900000000271</v>
      </c>
      <c r="D537" s="306">
        <f t="shared" ca="1" si="240"/>
        <v>-0.50366972988813008</v>
      </c>
      <c r="E537" s="307">
        <f t="shared" ca="1" si="241"/>
        <v>-0.34654040060345004</v>
      </c>
      <c r="F537" s="304">
        <f t="shared" ca="1" si="242"/>
        <v>0.61137013834172627</v>
      </c>
      <c r="G537" s="306">
        <f t="shared" ca="1" si="243"/>
        <v>5.3447651490260597</v>
      </c>
      <c r="H537" s="307">
        <f t="shared" ca="1" si="244"/>
        <v>-100.42386936239001</v>
      </c>
      <c r="I537" s="304">
        <f t="shared" ca="1" si="245"/>
        <v>100.56599848961187</v>
      </c>
      <c r="J537" s="306">
        <f t="shared" ca="1" si="246"/>
        <v>711.72888807733182</v>
      </c>
      <c r="K537" s="307">
        <f t="shared" ca="1" si="247"/>
        <v>-8.6328850193906916</v>
      </c>
      <c r="L537" s="304">
        <f t="shared" ca="1" si="232"/>
        <v>711.7812422560412</v>
      </c>
      <c r="M537" s="306">
        <f t="shared" ca="1" si="248"/>
        <v>-1.5176244341241167</v>
      </c>
      <c r="N537" s="304">
        <f t="shared" ca="1" si="249"/>
        <v>-86.953474961241724</v>
      </c>
      <c r="P537" s="310">
        <f t="shared" ca="1" si="250"/>
        <v>23</v>
      </c>
      <c r="Q537" s="304">
        <f t="shared" ca="1" si="251"/>
        <v>0</v>
      </c>
      <c r="R537" s="306">
        <f t="shared" ca="1" si="252"/>
        <v>0</v>
      </c>
      <c r="S537" s="307">
        <f t="shared" ca="1" si="253"/>
        <v>2.6792999999999987</v>
      </c>
      <c r="T537" s="304">
        <f t="shared" ca="1" si="233"/>
        <v>26.283932999999987</v>
      </c>
      <c r="U537" s="311">
        <f t="shared" ca="1" si="234"/>
        <v>0</v>
      </c>
      <c r="V537" s="306">
        <f t="shared" ca="1" si="235"/>
        <v>1.2260579850880562</v>
      </c>
      <c r="W537" s="304">
        <f t="shared" ca="1" si="236"/>
        <v>25.391374995886103</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0.31928191236659309</v>
      </c>
      <c r="AH537" s="304">
        <f t="shared" ca="1" si="260"/>
        <v>-9.4768534222185963</v>
      </c>
    </row>
    <row r="538" spans="1:34" x14ac:dyDescent="0.2">
      <c r="A538" s="347">
        <f t="shared" ca="1" si="238"/>
        <v>1E-4</v>
      </c>
      <c r="B538" s="304">
        <f t="shared" ca="1" si="239"/>
        <v>36.602000000000274</v>
      </c>
      <c r="D538" s="306">
        <f t="shared" ca="1" si="240"/>
        <v>-0.50366564925309132</v>
      </c>
      <c r="E538" s="307">
        <f t="shared" ca="1" si="241"/>
        <v>-0.34652462688045738</v>
      </c>
      <c r="F538" s="304">
        <f t="shared" ca="1" si="242"/>
        <v>0.61135783570031899</v>
      </c>
      <c r="G538" s="306">
        <f t="shared" ca="1" si="243"/>
        <v>5.3447147824611347</v>
      </c>
      <c r="H538" s="307">
        <f t="shared" ca="1" si="244"/>
        <v>-100.4239040148527</v>
      </c>
      <c r="I538" s="304">
        <f t="shared" ca="1" si="245"/>
        <v>100.56603041629019</v>
      </c>
      <c r="J538" s="306">
        <f t="shared" ca="1" si="246"/>
        <v>711.72888807733182</v>
      </c>
      <c r="K538" s="307">
        <f t="shared" ca="1" si="247"/>
        <v>-8.6429274080595544</v>
      </c>
      <c r="L538" s="304">
        <f t="shared" ca="1" si="232"/>
        <v>711.78136412663696</v>
      </c>
      <c r="M538" s="306">
        <f t="shared" ca="1" si="248"/>
        <v>-1.5176249525601233</v>
      </c>
      <c r="N538" s="304">
        <f t="shared" ca="1" si="249"/>
        <v>-86.953504665436839</v>
      </c>
      <c r="P538" s="310">
        <f t="shared" ca="1" si="250"/>
        <v>23</v>
      </c>
      <c r="Q538" s="304">
        <f t="shared" ca="1" si="251"/>
        <v>0</v>
      </c>
      <c r="R538" s="306">
        <f t="shared" ca="1" si="252"/>
        <v>0</v>
      </c>
      <c r="S538" s="307">
        <f t="shared" ca="1" si="253"/>
        <v>2.6792999999999987</v>
      </c>
      <c r="T538" s="304">
        <f t="shared" ca="1" si="233"/>
        <v>26.283932999999987</v>
      </c>
      <c r="U538" s="311">
        <f t="shared" ca="1" si="234"/>
        <v>0</v>
      </c>
      <c r="V538" s="306">
        <f t="shared" ca="1" si="235"/>
        <v>1.2260592163439858</v>
      </c>
      <c r="W538" s="304">
        <f t="shared" ca="1" si="236"/>
        <v>25.391416616923056</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0.31926664811189731</v>
      </c>
      <c r="AH538" s="304">
        <f t="shared" ca="1" si="260"/>
        <v>-9.4768689567745739</v>
      </c>
    </row>
    <row r="539" spans="1:34" x14ac:dyDescent="0.2">
      <c r="A539" s="347">
        <f t="shared" ca="1" si="238"/>
        <v>1E-4</v>
      </c>
      <c r="B539" s="304">
        <f t="shared" ca="1" si="239"/>
        <v>36.602100000000277</v>
      </c>
      <c r="D539" s="306">
        <f t="shared" ca="1" si="240"/>
        <v>-0.50366156863731693</v>
      </c>
      <c r="E539" s="307">
        <f t="shared" ca="1" si="241"/>
        <v>-0.34650885342225557</v>
      </c>
      <c r="F539" s="304">
        <f t="shared" ca="1" si="242"/>
        <v>0.61134553341151432</v>
      </c>
      <c r="G539" s="306">
        <f t="shared" ca="1" si="243"/>
        <v>5.3446644163042709</v>
      </c>
      <c r="H539" s="307">
        <f t="shared" ca="1" si="244"/>
        <v>-100.42393866573804</v>
      </c>
      <c r="I539" s="304">
        <f t="shared" ca="1" si="245"/>
        <v>100.56606234144213</v>
      </c>
      <c r="J539" s="306">
        <f t="shared" ca="1" si="246"/>
        <v>711.72888807733182</v>
      </c>
      <c r="K539" s="307">
        <f t="shared" ca="1" si="247"/>
        <v>-8.6529698001935831</v>
      </c>
      <c r="L539" s="304">
        <f t="shared" ca="1" si="232"/>
        <v>711.78148613894007</v>
      </c>
      <c r="M539" s="306">
        <f t="shared" ca="1" si="248"/>
        <v>-1.5176254709909149</v>
      </c>
      <c r="N539" s="304">
        <f t="shared" ca="1" si="249"/>
        <v>-86.95353436933317</v>
      </c>
      <c r="P539" s="310">
        <f t="shared" ca="1" si="250"/>
        <v>23</v>
      </c>
      <c r="Q539" s="304">
        <f t="shared" ca="1" si="251"/>
        <v>0</v>
      </c>
      <c r="R539" s="306">
        <f t="shared" ca="1" si="252"/>
        <v>0</v>
      </c>
      <c r="S539" s="307">
        <f t="shared" ca="1" si="253"/>
        <v>2.6792999999999987</v>
      </c>
      <c r="T539" s="304">
        <f t="shared" ca="1" si="233"/>
        <v>26.283932999999987</v>
      </c>
      <c r="U539" s="311">
        <f t="shared" ca="1" si="234"/>
        <v>0</v>
      </c>
      <c r="V539" s="306">
        <f t="shared" ca="1" si="235"/>
        <v>1.2260604476015775</v>
      </c>
      <c r="W539" s="304">
        <f t="shared" ca="1" si="236"/>
        <v>25.391458237261144</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0.31925138411269316</v>
      </c>
      <c r="AH539" s="304">
        <f t="shared" ca="1" si="260"/>
        <v>-9.4768844910697077</v>
      </c>
    </row>
    <row r="540" spans="1:34" x14ac:dyDescent="0.2">
      <c r="A540" s="347">
        <f t="shared" ca="1" si="238"/>
        <v>1E-4</v>
      </c>
      <c r="B540" s="304">
        <f t="shared" ca="1" si="239"/>
        <v>36.602200000000281</v>
      </c>
      <c r="D540" s="306">
        <f t="shared" ca="1" si="240"/>
        <v>-0.50365748804081212</v>
      </c>
      <c r="E540" s="307">
        <f t="shared" ca="1" si="241"/>
        <v>-0.34649308022883751</v>
      </c>
      <c r="F540" s="304">
        <f t="shared" ca="1" si="242"/>
        <v>0.61133323147531282</v>
      </c>
      <c r="G540" s="306">
        <f t="shared" ca="1" si="243"/>
        <v>5.3446140505554665</v>
      </c>
      <c r="H540" s="307">
        <f t="shared" ca="1" si="244"/>
        <v>-100.42397331504606</v>
      </c>
      <c r="I540" s="304">
        <f t="shared" ca="1" si="245"/>
        <v>100.56609426506768</v>
      </c>
      <c r="J540" s="306">
        <f t="shared" ca="1" si="246"/>
        <v>711.72888807733182</v>
      </c>
      <c r="K540" s="307">
        <f t="shared" ca="1" si="247"/>
        <v>-8.6630121957926232</v>
      </c>
      <c r="L540" s="304">
        <f t="shared" ca="1" si="232"/>
        <v>711.78160829295075</v>
      </c>
      <c r="M540" s="306">
        <f t="shared" ca="1" si="248"/>
        <v>-1.5176259894164921</v>
      </c>
      <c r="N540" s="304">
        <f t="shared" ca="1" si="249"/>
        <v>-86.953564072930732</v>
      </c>
      <c r="P540" s="310">
        <f t="shared" ca="1" si="250"/>
        <v>23</v>
      </c>
      <c r="Q540" s="304">
        <f t="shared" ca="1" si="251"/>
        <v>0</v>
      </c>
      <c r="R540" s="306">
        <f t="shared" ca="1" si="252"/>
        <v>0</v>
      </c>
      <c r="S540" s="307">
        <f t="shared" ca="1" si="253"/>
        <v>2.6792999999999987</v>
      </c>
      <c r="T540" s="304">
        <f t="shared" ca="1" si="233"/>
        <v>26.283932999999987</v>
      </c>
      <c r="U540" s="311">
        <f t="shared" ca="1" si="234"/>
        <v>0</v>
      </c>
      <c r="V540" s="306">
        <f t="shared" ca="1" si="235"/>
        <v>1.2260616788608307</v>
      </c>
      <c r="W540" s="304">
        <f t="shared" ca="1" si="236"/>
        <v>25.391499856900356</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0.31923612036897531</v>
      </c>
      <c r="AH540" s="304">
        <f t="shared" ca="1" si="260"/>
        <v>-9.476900025104003</v>
      </c>
    </row>
    <row r="541" spans="1:34" x14ac:dyDescent="0.2">
      <c r="A541" s="347">
        <f t="shared" ca="1" si="238"/>
        <v>1E-4</v>
      </c>
      <c r="B541" s="304">
        <f t="shared" ca="1" si="239"/>
        <v>36.602300000000284</v>
      </c>
      <c r="D541" s="306">
        <f t="shared" ca="1" si="240"/>
        <v>-0.5036534074635729</v>
      </c>
      <c r="E541" s="307">
        <f t="shared" ca="1" si="241"/>
        <v>-0.34647730730020676</v>
      </c>
      <c r="F541" s="304">
        <f t="shared" ca="1" si="242"/>
        <v>0.61132092989171383</v>
      </c>
      <c r="G541" s="306">
        <f t="shared" ca="1" si="243"/>
        <v>5.3445636852147205</v>
      </c>
      <c r="H541" s="307">
        <f t="shared" ca="1" si="244"/>
        <v>-100.42400796277678</v>
      </c>
      <c r="I541" s="304">
        <f t="shared" ca="1" si="245"/>
        <v>100.56612618716687</v>
      </c>
      <c r="J541" s="306">
        <f t="shared" ca="1" si="246"/>
        <v>711.72888807733182</v>
      </c>
      <c r="K541" s="307">
        <f t="shared" ca="1" si="247"/>
        <v>-8.6730545948565148</v>
      </c>
      <c r="L541" s="304">
        <f t="shared" ca="1" si="232"/>
        <v>711.78173058866889</v>
      </c>
      <c r="M541" s="306">
        <f t="shared" ca="1" si="248"/>
        <v>-1.5176265078368547</v>
      </c>
      <c r="N541" s="304">
        <f t="shared" ca="1" si="249"/>
        <v>-86.953593776229525</v>
      </c>
      <c r="P541" s="310">
        <f t="shared" ca="1" si="250"/>
        <v>23</v>
      </c>
      <c r="Q541" s="304">
        <f t="shared" ca="1" si="251"/>
        <v>0</v>
      </c>
      <c r="R541" s="306">
        <f t="shared" ca="1" si="252"/>
        <v>0</v>
      </c>
      <c r="S541" s="307">
        <f t="shared" ca="1" si="253"/>
        <v>2.6792999999999987</v>
      </c>
      <c r="T541" s="304">
        <f t="shared" ca="1" si="233"/>
        <v>26.283932999999987</v>
      </c>
      <c r="U541" s="311">
        <f t="shared" ca="1" si="234"/>
        <v>0</v>
      </c>
      <c r="V541" s="306">
        <f t="shared" ca="1" si="235"/>
        <v>1.2260629101217457</v>
      </c>
      <c r="W541" s="304">
        <f t="shared" ca="1" si="236"/>
        <v>25.391541475840711</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0.31922085688074908</v>
      </c>
      <c r="AH541" s="304">
        <f t="shared" ca="1" si="260"/>
        <v>-9.4769155588774563</v>
      </c>
    </row>
    <row r="542" spans="1:34" x14ac:dyDescent="0.2">
      <c r="A542" s="347">
        <f t="shared" ca="1" si="238"/>
        <v>1E-4</v>
      </c>
      <c r="B542" s="304">
        <f t="shared" ca="1" si="239"/>
        <v>36.602400000000287</v>
      </c>
      <c r="D542" s="306">
        <f t="shared" ca="1" si="240"/>
        <v>-0.50364932690560049</v>
      </c>
      <c r="E542" s="307">
        <f t="shared" ca="1" si="241"/>
        <v>-0.34646153463635798</v>
      </c>
      <c r="F542" s="304">
        <f t="shared" ca="1" si="242"/>
        <v>0.61130862866071567</v>
      </c>
      <c r="G542" s="306">
        <f t="shared" ca="1" si="243"/>
        <v>5.3445133202820303</v>
      </c>
      <c r="H542" s="307">
        <f t="shared" ca="1" si="244"/>
        <v>-100.42404260893025</v>
      </c>
      <c r="I542" s="304">
        <f t="shared" ca="1" si="245"/>
        <v>100.56615810773977</v>
      </c>
      <c r="J542" s="306">
        <f t="shared" ca="1" si="246"/>
        <v>711.72888807733182</v>
      </c>
      <c r="K542" s="307">
        <f t="shared" ca="1" si="247"/>
        <v>-8.6830969973850998</v>
      </c>
      <c r="L542" s="304">
        <f t="shared" ca="1" si="232"/>
        <v>711.78185302609472</v>
      </c>
      <c r="M542" s="306">
        <f t="shared" ca="1" si="248"/>
        <v>-1.5176270262520029</v>
      </c>
      <c r="N542" s="304">
        <f t="shared" ca="1" si="249"/>
        <v>-86.953623479229549</v>
      </c>
      <c r="P542" s="310">
        <f t="shared" ca="1" si="250"/>
        <v>23</v>
      </c>
      <c r="Q542" s="304">
        <f t="shared" ca="1" si="251"/>
        <v>0</v>
      </c>
      <c r="R542" s="306">
        <f t="shared" ca="1" si="252"/>
        <v>0</v>
      </c>
      <c r="S542" s="307">
        <f t="shared" ca="1" si="253"/>
        <v>2.6792999999999987</v>
      </c>
      <c r="T542" s="304">
        <f t="shared" ca="1" si="233"/>
        <v>26.283932999999987</v>
      </c>
      <c r="U542" s="311">
        <f t="shared" ca="1" si="234"/>
        <v>0</v>
      </c>
      <c r="V542" s="306">
        <f t="shared" ca="1" si="235"/>
        <v>1.2260641413843227</v>
      </c>
      <c r="W542" s="304">
        <f t="shared" ca="1" si="236"/>
        <v>25.39158309408225</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0.31920559364800738</v>
      </c>
      <c r="AH542" s="304">
        <f t="shared" ca="1" si="260"/>
        <v>-9.4769310923900729</v>
      </c>
    </row>
    <row r="543" spans="1:34" x14ac:dyDescent="0.2">
      <c r="A543" s="347">
        <f t="shared" ca="1" si="238"/>
        <v>1E-4</v>
      </c>
      <c r="B543" s="304">
        <f t="shared" ca="1" si="239"/>
        <v>36.60250000000029</v>
      </c>
      <c r="D543" s="306">
        <f t="shared" ca="1" si="240"/>
        <v>-0.50364524636689612</v>
      </c>
      <c r="E543" s="307">
        <f t="shared" ca="1" si="241"/>
        <v>-0.34644576223727341</v>
      </c>
      <c r="F543" s="304">
        <f t="shared" ca="1" si="242"/>
        <v>0.61129632778230958</v>
      </c>
      <c r="G543" s="306">
        <f t="shared" ca="1" si="243"/>
        <v>5.3444629557573933</v>
      </c>
      <c r="H543" s="307">
        <f t="shared" ca="1" si="244"/>
        <v>-100.42407725350647</v>
      </c>
      <c r="I543" s="304">
        <f t="shared" ca="1" si="245"/>
        <v>100.56619002678633</v>
      </c>
      <c r="J543" s="306">
        <f t="shared" ca="1" si="246"/>
        <v>711.72888807733182</v>
      </c>
      <c r="K543" s="307">
        <f t="shared" ca="1" si="247"/>
        <v>-8.6931394033782219</v>
      </c>
      <c r="L543" s="304">
        <f t="shared" ca="1" si="232"/>
        <v>711.78197560522824</v>
      </c>
      <c r="M543" s="306">
        <f t="shared" ca="1" si="248"/>
        <v>-1.5176275446619365</v>
      </c>
      <c r="N543" s="304">
        <f t="shared" ca="1" si="249"/>
        <v>-86.953653181930804</v>
      </c>
      <c r="P543" s="310">
        <f t="shared" ca="1" si="250"/>
        <v>23</v>
      </c>
      <c r="Q543" s="304">
        <f t="shared" ca="1" si="251"/>
        <v>0</v>
      </c>
      <c r="R543" s="306">
        <f t="shared" ca="1" si="252"/>
        <v>0</v>
      </c>
      <c r="S543" s="307">
        <f t="shared" ca="1" si="253"/>
        <v>2.6792999999999987</v>
      </c>
      <c r="T543" s="304">
        <f t="shared" ca="1" si="233"/>
        <v>26.283932999999987</v>
      </c>
      <c r="U543" s="311">
        <f t="shared" ca="1" si="234"/>
        <v>0</v>
      </c>
      <c r="V543" s="306">
        <f t="shared" ca="1" si="235"/>
        <v>1.2260653726485613</v>
      </c>
      <c r="W543" s="304">
        <f t="shared" ca="1" si="236"/>
        <v>25.391624711624917</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0.31919033067073244</v>
      </c>
      <c r="AH543" s="304">
        <f t="shared" ca="1" si="260"/>
        <v>-9.4769466256418706</v>
      </c>
    </row>
    <row r="544" spans="1:34" x14ac:dyDescent="0.2">
      <c r="A544" s="347">
        <f t="shared" ca="1" si="238"/>
        <v>1E-4</v>
      </c>
      <c r="B544" s="304">
        <f t="shared" ca="1" si="239"/>
        <v>36.602600000000294</v>
      </c>
      <c r="D544" s="306">
        <f t="shared" ca="1" si="240"/>
        <v>-0.50364116584745955</v>
      </c>
      <c r="E544" s="307">
        <f t="shared" ca="1" si="241"/>
        <v>-0.34642999010297615</v>
      </c>
      <c r="F544" s="304">
        <f t="shared" ca="1" si="242"/>
        <v>0.61128402725650899</v>
      </c>
      <c r="G544" s="306">
        <f t="shared" ca="1" si="243"/>
        <v>5.3444125916408085</v>
      </c>
      <c r="H544" s="307">
        <f t="shared" ca="1" si="244"/>
        <v>-100.42411189650548</v>
      </c>
      <c r="I544" s="304">
        <f t="shared" ca="1" si="245"/>
        <v>100.56622194430663</v>
      </c>
      <c r="J544" s="306">
        <f t="shared" ca="1" si="246"/>
        <v>711.72888807733182</v>
      </c>
      <c r="K544" s="307">
        <f t="shared" ca="1" si="247"/>
        <v>-8.703181812835723</v>
      </c>
      <c r="L544" s="304">
        <f t="shared" ca="1" si="232"/>
        <v>711.78209832606944</v>
      </c>
      <c r="M544" s="306">
        <f t="shared" ca="1" si="248"/>
        <v>-1.5176280630666559</v>
      </c>
      <c r="N544" s="304">
        <f t="shared" ca="1" si="249"/>
        <v>-86.953682884333304</v>
      </c>
      <c r="P544" s="310">
        <f t="shared" ca="1" si="250"/>
        <v>23</v>
      </c>
      <c r="Q544" s="304">
        <f t="shared" ca="1" si="251"/>
        <v>0</v>
      </c>
      <c r="R544" s="306">
        <f t="shared" ca="1" si="252"/>
        <v>0</v>
      </c>
      <c r="S544" s="307">
        <f t="shared" ca="1" si="253"/>
        <v>2.6792999999999987</v>
      </c>
      <c r="T544" s="304">
        <f t="shared" ca="1" si="233"/>
        <v>26.283932999999987</v>
      </c>
      <c r="U544" s="311">
        <f t="shared" ca="1" si="234"/>
        <v>0</v>
      </c>
      <c r="V544" s="306">
        <f t="shared" ca="1" si="235"/>
        <v>1.2260666039144619</v>
      </c>
      <c r="W544" s="304">
        <f t="shared" ca="1" si="236"/>
        <v>25.391666328468784</v>
      </c>
      <c r="Y544" s="314" t="str">
        <f t="shared" ca="1" si="254"/>
        <v/>
      </c>
      <c r="Z544" s="315" t="str">
        <f t="shared" ca="1" si="255"/>
        <v/>
      </c>
      <c r="AA544" s="316" t="str">
        <f t="shared" ca="1" si="256"/>
        <v/>
      </c>
      <c r="AC544" s="310" t="e">
        <f t="shared" ca="1" si="257"/>
        <v>#N/A</v>
      </c>
      <c r="AD544" s="323" t="e">
        <f t="shared" ca="1" si="258"/>
        <v>#N/A</v>
      </c>
      <c r="AE544" s="324" t="e">
        <f t="shared" ca="1" si="237"/>
        <v>#N/A</v>
      </c>
      <c r="AG544" s="306">
        <f t="shared" ca="1" si="259"/>
        <v>0.31917506794894912</v>
      </c>
      <c r="AH544" s="304">
        <f t="shared" ca="1" si="260"/>
        <v>-9.4769621586328263</v>
      </c>
    </row>
    <row r="545" spans="1:34" x14ac:dyDescent="0.2">
      <c r="A545" s="347">
        <f t="shared" ca="1" si="238"/>
        <v>1E-4</v>
      </c>
      <c r="B545" s="304">
        <f t="shared" ca="1" si="239"/>
        <v>36.602700000000297</v>
      </c>
      <c r="D545" s="306">
        <f t="shared" ca="1" si="240"/>
        <v>-0.50363708534729068</v>
      </c>
      <c r="E545" s="307">
        <f t="shared" ca="1" si="241"/>
        <v>-0.34641421823343954</v>
      </c>
      <c r="F545" s="304">
        <f t="shared" ca="1" si="242"/>
        <v>0.61127172708329902</v>
      </c>
      <c r="G545" s="306">
        <f t="shared" ca="1" si="243"/>
        <v>5.3443622279322733</v>
      </c>
      <c r="H545" s="307">
        <f t="shared" ca="1" si="244"/>
        <v>-100.4241465379273</v>
      </c>
      <c r="I545" s="304">
        <f t="shared" ca="1" si="245"/>
        <v>100.56625386030069</v>
      </c>
      <c r="J545" s="306">
        <f t="shared" ca="1" si="246"/>
        <v>711.72888807733182</v>
      </c>
      <c r="K545" s="307">
        <f t="shared" ca="1" si="247"/>
        <v>-8.713224225757445</v>
      </c>
      <c r="L545" s="304">
        <f t="shared" ca="1" si="232"/>
        <v>711.78222118861856</v>
      </c>
      <c r="M545" s="306">
        <f t="shared" ca="1" si="248"/>
        <v>-1.517628581466161</v>
      </c>
      <c r="N545" s="304">
        <f t="shared" ca="1" si="249"/>
        <v>-86.953712586437049</v>
      </c>
      <c r="P545" s="310">
        <f t="shared" ca="1" si="250"/>
        <v>23</v>
      </c>
      <c r="Q545" s="304">
        <f t="shared" ca="1" si="251"/>
        <v>0</v>
      </c>
      <c r="R545" s="306">
        <f t="shared" ca="1" si="252"/>
        <v>0</v>
      </c>
      <c r="S545" s="307">
        <f t="shared" ca="1" si="253"/>
        <v>2.6792999999999987</v>
      </c>
      <c r="T545" s="304">
        <f t="shared" ca="1" si="233"/>
        <v>26.283932999999987</v>
      </c>
      <c r="U545" s="311">
        <f t="shared" ca="1" si="234"/>
        <v>0</v>
      </c>
      <c r="V545" s="306">
        <f t="shared" ca="1" si="235"/>
        <v>1.2260678351820242</v>
      </c>
      <c r="W545" s="304">
        <f t="shared" ca="1" si="236"/>
        <v>25.391707944613835</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0.31915980548262901</v>
      </c>
      <c r="AH545" s="304">
        <f t="shared" ca="1" si="260"/>
        <v>-9.4769776913629666</v>
      </c>
    </row>
    <row r="546" spans="1:34" x14ac:dyDescent="0.2">
      <c r="A546" s="347">
        <f t="shared" ca="1" si="238"/>
        <v>1E-4</v>
      </c>
      <c r="B546" s="304">
        <f t="shared" ca="1" si="239"/>
        <v>36.6028000000003</v>
      </c>
      <c r="D546" s="306">
        <f t="shared" ca="1" si="240"/>
        <v>-0.50363300486638984</v>
      </c>
      <c r="E546" s="307">
        <f t="shared" ca="1" si="241"/>
        <v>-0.34639844662866537</v>
      </c>
      <c r="F546" s="304">
        <f t="shared" ca="1" si="242"/>
        <v>0.61125942726268145</v>
      </c>
      <c r="G546" s="306">
        <f t="shared" ca="1" si="243"/>
        <v>5.3443118646317869</v>
      </c>
      <c r="H546" s="307">
        <f t="shared" ca="1" si="244"/>
        <v>-100.42418117777196</v>
      </c>
      <c r="I546" s="304">
        <f t="shared" ca="1" si="245"/>
        <v>100.56628577476853</v>
      </c>
      <c r="J546" s="306">
        <f t="shared" ca="1" si="246"/>
        <v>711.72888807733182</v>
      </c>
      <c r="K546" s="307">
        <f t="shared" ca="1" si="247"/>
        <v>-8.7232666421432299</v>
      </c>
      <c r="L546" s="304">
        <f t="shared" ca="1" si="232"/>
        <v>711.78234419287548</v>
      </c>
      <c r="M546" s="306">
        <f t="shared" ca="1" si="248"/>
        <v>-1.5176290998604518</v>
      </c>
      <c r="N546" s="304">
        <f t="shared" ca="1" si="249"/>
        <v>-86.95374228824204</v>
      </c>
      <c r="P546" s="310">
        <f t="shared" ca="1" si="250"/>
        <v>23</v>
      </c>
      <c r="Q546" s="304">
        <f t="shared" ca="1" si="251"/>
        <v>0</v>
      </c>
      <c r="R546" s="306">
        <f t="shared" ca="1" si="252"/>
        <v>0</v>
      </c>
      <c r="S546" s="307">
        <f t="shared" ca="1" si="253"/>
        <v>2.6792999999999987</v>
      </c>
      <c r="T546" s="304">
        <f t="shared" ca="1" si="233"/>
        <v>26.283932999999987</v>
      </c>
      <c r="U546" s="311">
        <f t="shared" ca="1" si="234"/>
        <v>0</v>
      </c>
      <c r="V546" s="306">
        <f t="shared" ca="1" si="235"/>
        <v>1.2260690664512484</v>
      </c>
      <c r="W546" s="304">
        <f t="shared" ca="1" si="236"/>
        <v>25.391749560060088</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0.31914454327177744</v>
      </c>
      <c r="AH546" s="304">
        <f t="shared" ca="1" si="260"/>
        <v>-9.476993223832288</v>
      </c>
    </row>
    <row r="547" spans="1:34" x14ac:dyDescent="0.2">
      <c r="A547" s="347">
        <f t="shared" ca="1" si="238"/>
        <v>1E-4</v>
      </c>
      <c r="B547" s="304">
        <f t="shared" ca="1" si="239"/>
        <v>36.602900000000304</v>
      </c>
      <c r="D547" s="306">
        <f t="shared" ca="1" si="240"/>
        <v>-0.50362892440475804</v>
      </c>
      <c r="E547" s="307">
        <f t="shared" ca="1" si="241"/>
        <v>-0.34638267528865185</v>
      </c>
      <c r="F547" s="304">
        <f t="shared" ca="1" si="242"/>
        <v>0.61124712779465651</v>
      </c>
      <c r="G547" s="306">
        <f t="shared" ca="1" si="243"/>
        <v>5.3442615017393464</v>
      </c>
      <c r="H547" s="307">
        <f t="shared" ca="1" si="244"/>
        <v>-100.42421581603948</v>
      </c>
      <c r="I547" s="304">
        <f t="shared" ca="1" si="245"/>
        <v>100.56631768771017</v>
      </c>
      <c r="J547" s="306">
        <f t="shared" ca="1" si="246"/>
        <v>711.72888807733182</v>
      </c>
      <c r="K547" s="307">
        <f t="shared" ca="1" si="247"/>
        <v>-8.7333090619929212</v>
      </c>
      <c r="L547" s="304">
        <f t="shared" ca="1" si="232"/>
        <v>711.78246733884043</v>
      </c>
      <c r="M547" s="306">
        <f t="shared" ca="1" si="248"/>
        <v>-1.5176296182495286</v>
      </c>
      <c r="N547" s="304">
        <f t="shared" ca="1" si="249"/>
        <v>-86.95377198974829</v>
      </c>
      <c r="P547" s="310">
        <f t="shared" ca="1" si="250"/>
        <v>23</v>
      </c>
      <c r="Q547" s="304">
        <f t="shared" ca="1" si="251"/>
        <v>0</v>
      </c>
      <c r="R547" s="306">
        <f t="shared" ca="1" si="252"/>
        <v>0</v>
      </c>
      <c r="S547" s="307">
        <f t="shared" ca="1" si="253"/>
        <v>2.6792999999999987</v>
      </c>
      <c r="T547" s="304">
        <f t="shared" ca="1" si="233"/>
        <v>26.283932999999987</v>
      </c>
      <c r="U547" s="311">
        <f t="shared" ca="1" si="234"/>
        <v>0</v>
      </c>
      <c r="V547" s="306">
        <f t="shared" ca="1" si="235"/>
        <v>1.2260702977221341</v>
      </c>
      <c r="W547" s="304">
        <f t="shared" ca="1" si="236"/>
        <v>25.391791174807533</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0.31912928131639084</v>
      </c>
      <c r="AH547" s="304">
        <f t="shared" ca="1" si="260"/>
        <v>-9.4770087560407941</v>
      </c>
    </row>
    <row r="548" spans="1:34" x14ac:dyDescent="0.2">
      <c r="A548" s="347">
        <f t="shared" ca="1" si="238"/>
        <v>1E-4</v>
      </c>
      <c r="B548" s="304">
        <f t="shared" ca="1" si="239"/>
        <v>36.603000000000307</v>
      </c>
      <c r="D548" s="306">
        <f t="shared" ca="1" si="240"/>
        <v>-0.5036248439623936</v>
      </c>
      <c r="E548" s="307">
        <f t="shared" ca="1" si="241"/>
        <v>-0.346366904213399</v>
      </c>
      <c r="F548" s="304">
        <f t="shared" ca="1" si="242"/>
        <v>0.61123482867922307</v>
      </c>
      <c r="G548" s="306">
        <f t="shared" ca="1" si="243"/>
        <v>5.3442111392549503</v>
      </c>
      <c r="H548" s="307">
        <f t="shared" ca="1" si="244"/>
        <v>-100.42425045272989</v>
      </c>
      <c r="I548" s="304">
        <f t="shared" ca="1" si="245"/>
        <v>100.56634959912563</v>
      </c>
      <c r="J548" s="306">
        <f t="shared" ca="1" si="246"/>
        <v>711.72888807733182</v>
      </c>
      <c r="K548" s="307">
        <f t="shared" ca="1" si="247"/>
        <v>-8.7433514853063592</v>
      </c>
      <c r="L548" s="304">
        <f t="shared" ca="1" si="232"/>
        <v>711.78259062651341</v>
      </c>
      <c r="M548" s="306">
        <f t="shared" ca="1" si="248"/>
        <v>-1.5176301366333911</v>
      </c>
      <c r="N548" s="304">
        <f t="shared" ca="1" si="249"/>
        <v>-86.953801690955771</v>
      </c>
      <c r="P548" s="310">
        <f t="shared" ca="1" si="250"/>
        <v>23</v>
      </c>
      <c r="Q548" s="304">
        <f t="shared" ca="1" si="251"/>
        <v>0</v>
      </c>
      <c r="R548" s="306">
        <f t="shared" ca="1" si="252"/>
        <v>0</v>
      </c>
      <c r="S548" s="307">
        <f t="shared" ca="1" si="253"/>
        <v>2.6792999999999987</v>
      </c>
      <c r="T548" s="304">
        <f t="shared" ca="1" si="233"/>
        <v>26.283932999999987</v>
      </c>
      <c r="U548" s="311">
        <f t="shared" ca="1" si="234"/>
        <v>0</v>
      </c>
      <c r="V548" s="306">
        <f t="shared" ca="1" si="235"/>
        <v>1.2260715289946815</v>
      </c>
      <c r="W548" s="304">
        <f t="shared" ca="1" si="236"/>
        <v>25.391832788856192</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0.31911401961646924</v>
      </c>
      <c r="AH548" s="304">
        <f t="shared" ca="1" si="260"/>
        <v>-9.4770242879884847</v>
      </c>
    </row>
    <row r="549" spans="1:34" x14ac:dyDescent="0.2">
      <c r="A549" s="347">
        <f t="shared" ca="1" si="238"/>
        <v>1E-4</v>
      </c>
      <c r="B549" s="304">
        <f t="shared" ca="1" si="239"/>
        <v>36.60310000000031</v>
      </c>
      <c r="D549" s="306">
        <f t="shared" ca="1" si="240"/>
        <v>-0.50362076353929985</v>
      </c>
      <c r="E549" s="307">
        <f t="shared" ca="1" si="241"/>
        <v>-0.34635113340290147</v>
      </c>
      <c r="F549" s="304">
        <f t="shared" ca="1" si="242"/>
        <v>0.61122252991638149</v>
      </c>
      <c r="G549" s="306">
        <f t="shared" ca="1" si="243"/>
        <v>5.3441607771785966</v>
      </c>
      <c r="H549" s="307">
        <f t="shared" ca="1" si="244"/>
        <v>-100.42428508784323</v>
      </c>
      <c r="I549" s="304">
        <f t="shared" ca="1" si="245"/>
        <v>100.56638150901496</v>
      </c>
      <c r="J549" s="306">
        <f t="shared" ca="1" si="246"/>
        <v>711.72888807733182</v>
      </c>
      <c r="K549" s="307">
        <f t="shared" ca="1" si="247"/>
        <v>-8.7533939120833875</v>
      </c>
      <c r="L549" s="304">
        <f t="shared" ca="1" si="232"/>
        <v>711.78271405589442</v>
      </c>
      <c r="M549" s="306">
        <f t="shared" ca="1" si="248"/>
        <v>-1.5176306550120395</v>
      </c>
      <c r="N549" s="304">
        <f t="shared" ca="1" si="249"/>
        <v>-86.953831391864526</v>
      </c>
      <c r="P549" s="310">
        <f t="shared" ca="1" si="250"/>
        <v>23</v>
      </c>
      <c r="Q549" s="304">
        <f t="shared" ca="1" si="251"/>
        <v>0</v>
      </c>
      <c r="R549" s="306">
        <f t="shared" ca="1" si="252"/>
        <v>0</v>
      </c>
      <c r="S549" s="307">
        <f t="shared" ca="1" si="253"/>
        <v>2.6792999999999987</v>
      </c>
      <c r="T549" s="304">
        <f t="shared" ca="1" si="233"/>
        <v>26.283932999999987</v>
      </c>
      <c r="U549" s="311">
        <f t="shared" ca="1" si="234"/>
        <v>0</v>
      </c>
      <c r="V549" s="306">
        <f t="shared" ca="1" si="235"/>
        <v>1.2260727602688908</v>
      </c>
      <c r="W549" s="304">
        <f t="shared" ca="1" si="236"/>
        <v>25.391874402206085</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0.31909875817200728</v>
      </c>
      <c r="AH549" s="304">
        <f t="shared" ca="1" si="260"/>
        <v>-9.4770398196753654</v>
      </c>
    </row>
    <row r="550" spans="1:34" x14ac:dyDescent="0.2">
      <c r="A550" s="347">
        <f t="shared" ca="1" si="238"/>
        <v>1E-4</v>
      </c>
      <c r="B550" s="304">
        <f t="shared" ca="1" si="239"/>
        <v>36.603200000000314</v>
      </c>
      <c r="D550" s="306">
        <f t="shared" ca="1" si="240"/>
        <v>-0.50361668313547547</v>
      </c>
      <c r="E550" s="307">
        <f t="shared" ca="1" si="241"/>
        <v>-0.34633536285715039</v>
      </c>
      <c r="F550" s="304">
        <f t="shared" ca="1" si="242"/>
        <v>0.61121023150612586</v>
      </c>
      <c r="G550" s="306">
        <f t="shared" ca="1" si="243"/>
        <v>5.3441104155102828</v>
      </c>
      <c r="H550" s="307">
        <f t="shared" ca="1" si="244"/>
        <v>-100.42431972137952</v>
      </c>
      <c r="I550" s="304">
        <f t="shared" ca="1" si="245"/>
        <v>100.56641341737817</v>
      </c>
      <c r="J550" s="306">
        <f t="shared" ca="1" si="246"/>
        <v>711.72888807733182</v>
      </c>
      <c r="K550" s="307">
        <f t="shared" ca="1" si="247"/>
        <v>-8.7634363423238479</v>
      </c>
      <c r="L550" s="304">
        <f t="shared" ca="1" si="232"/>
        <v>711.78283762698379</v>
      </c>
      <c r="M550" s="306">
        <f t="shared" ca="1" si="248"/>
        <v>-1.5176311733854742</v>
      </c>
      <c r="N550" s="304">
        <f t="shared" ca="1" si="249"/>
        <v>-86.95386109247454</v>
      </c>
      <c r="P550" s="310">
        <f t="shared" ca="1" si="250"/>
        <v>23</v>
      </c>
      <c r="Q550" s="304">
        <f t="shared" ca="1" si="251"/>
        <v>0</v>
      </c>
      <c r="R550" s="306">
        <f t="shared" ca="1" si="252"/>
        <v>0</v>
      </c>
      <c r="S550" s="307">
        <f t="shared" ca="1" si="253"/>
        <v>2.6792999999999987</v>
      </c>
      <c r="T550" s="304">
        <f t="shared" ca="1" si="233"/>
        <v>26.283932999999987</v>
      </c>
      <c r="U550" s="311">
        <f t="shared" ca="1" si="234"/>
        <v>0</v>
      </c>
      <c r="V550" s="306">
        <f t="shared" ca="1" si="235"/>
        <v>1.2260739915447616</v>
      </c>
      <c r="W550" s="304">
        <f t="shared" ca="1" si="236"/>
        <v>25.391916014857209</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0.3190834969829961</v>
      </c>
      <c r="AH550" s="304">
        <f t="shared" ca="1" si="260"/>
        <v>-9.477055351101443</v>
      </c>
    </row>
    <row r="551" spans="1:34" x14ac:dyDescent="0.2">
      <c r="A551" s="347">
        <f t="shared" ca="1" si="238"/>
        <v>1E-4</v>
      </c>
      <c r="B551" s="304">
        <f t="shared" ca="1" si="239"/>
        <v>36.603300000000317</v>
      </c>
      <c r="D551" s="306">
        <f t="shared" ca="1" si="240"/>
        <v>-0.50361260275091924</v>
      </c>
      <c r="E551" s="307">
        <f t="shared" ca="1" si="241"/>
        <v>-0.34631959257614575</v>
      </c>
      <c r="F551" s="304">
        <f t="shared" ca="1" si="242"/>
        <v>0.61119793344845563</v>
      </c>
      <c r="G551" s="306">
        <f t="shared" ca="1" si="243"/>
        <v>5.3440600542500079</v>
      </c>
      <c r="H551" s="307">
        <f t="shared" ca="1" si="244"/>
        <v>-100.42435435333877</v>
      </c>
      <c r="I551" s="304">
        <f t="shared" ca="1" si="245"/>
        <v>100.56644532421529</v>
      </c>
      <c r="J551" s="306">
        <f t="shared" ca="1" si="246"/>
        <v>711.72888807733182</v>
      </c>
      <c r="K551" s="307">
        <f t="shared" ca="1" si="247"/>
        <v>-8.7734787760275843</v>
      </c>
      <c r="L551" s="304">
        <f t="shared" ca="1" si="232"/>
        <v>711.7829613397812</v>
      </c>
      <c r="M551" s="306">
        <f t="shared" ca="1" si="248"/>
        <v>-1.5176316917536947</v>
      </c>
      <c r="N551" s="304">
        <f t="shared" ca="1" si="249"/>
        <v>-86.953890792785813</v>
      </c>
      <c r="P551" s="310">
        <f t="shared" ca="1" si="250"/>
        <v>23</v>
      </c>
      <c r="Q551" s="304">
        <f t="shared" ca="1" si="251"/>
        <v>0</v>
      </c>
      <c r="R551" s="306">
        <f t="shared" ca="1" si="252"/>
        <v>0</v>
      </c>
      <c r="S551" s="307">
        <f t="shared" ca="1" si="253"/>
        <v>2.6792999999999987</v>
      </c>
      <c r="T551" s="304">
        <f t="shared" ca="1" si="233"/>
        <v>26.283932999999987</v>
      </c>
      <c r="U551" s="311">
        <f t="shared" ca="1" si="234"/>
        <v>0</v>
      </c>
      <c r="V551" s="306">
        <f t="shared" ca="1" si="235"/>
        <v>1.226075222822294</v>
      </c>
      <c r="W551" s="304">
        <f t="shared" ca="1" si="236"/>
        <v>25.391957626809578</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0.31906823604943568</v>
      </c>
      <c r="AH551" s="304">
        <f t="shared" ca="1" si="260"/>
        <v>-9.4770708822667196</v>
      </c>
    </row>
    <row r="552" spans="1:34" x14ac:dyDescent="0.2">
      <c r="A552" s="347">
        <f t="shared" ca="1" si="238"/>
        <v>1E-4</v>
      </c>
      <c r="B552" s="304">
        <f t="shared" ca="1" si="239"/>
        <v>36.60340000000032</v>
      </c>
      <c r="D552" s="306">
        <f t="shared" ca="1" si="240"/>
        <v>-0.50360852238563403</v>
      </c>
      <c r="E552" s="307">
        <f t="shared" ca="1" si="241"/>
        <v>-0.34630382255988224</v>
      </c>
      <c r="F552" s="304">
        <f t="shared" ca="1" si="242"/>
        <v>0.61118563574337059</v>
      </c>
      <c r="G552" s="306">
        <f t="shared" ca="1" si="243"/>
        <v>5.3440096933977692</v>
      </c>
      <c r="H552" s="307">
        <f t="shared" ca="1" si="244"/>
        <v>-100.42438898372103</v>
      </c>
      <c r="I552" s="304">
        <f t="shared" ca="1" si="245"/>
        <v>100.56647722952634</v>
      </c>
      <c r="J552" s="306">
        <f t="shared" ca="1" si="246"/>
        <v>711.72888807733182</v>
      </c>
      <c r="K552" s="307">
        <f t="shared" ca="1" si="247"/>
        <v>-8.7835212131944367</v>
      </c>
      <c r="L552" s="304">
        <f t="shared" ca="1" si="232"/>
        <v>711.78308519428708</v>
      </c>
      <c r="M552" s="306">
        <f t="shared" ca="1" si="248"/>
        <v>-1.5176322101167015</v>
      </c>
      <c r="N552" s="304">
        <f t="shared" ca="1" si="249"/>
        <v>-86.953920492798346</v>
      </c>
      <c r="P552" s="310">
        <f t="shared" ca="1" si="250"/>
        <v>23</v>
      </c>
      <c r="Q552" s="304">
        <f t="shared" ca="1" si="251"/>
        <v>0</v>
      </c>
      <c r="R552" s="306">
        <f t="shared" ca="1" si="252"/>
        <v>0</v>
      </c>
      <c r="S552" s="307">
        <f t="shared" ca="1" si="253"/>
        <v>2.6792999999999987</v>
      </c>
      <c r="T552" s="304">
        <f t="shared" ca="1" si="233"/>
        <v>26.283932999999987</v>
      </c>
      <c r="U552" s="311">
        <f t="shared" ca="1" si="234"/>
        <v>0</v>
      </c>
      <c r="V552" s="306">
        <f t="shared" ca="1" si="235"/>
        <v>1.2260764541014881</v>
      </c>
      <c r="W552" s="304">
        <f t="shared" ca="1" si="236"/>
        <v>25.391999238063192</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0.31905297537132427</v>
      </c>
      <c r="AH552" s="304">
        <f t="shared" ca="1" si="260"/>
        <v>-9.4770864131711985</v>
      </c>
    </row>
    <row r="553" spans="1:34" x14ac:dyDescent="0.2">
      <c r="A553" s="347">
        <f t="shared" ca="1" si="238"/>
        <v>1E-4</v>
      </c>
      <c r="B553" s="304">
        <f t="shared" ca="1" si="239"/>
        <v>36.603500000000324</v>
      </c>
      <c r="D553" s="306">
        <f t="shared" ca="1" si="240"/>
        <v>-0.50360444203961841</v>
      </c>
      <c r="E553" s="307">
        <f t="shared" ca="1" si="241"/>
        <v>-0.34628805280836517</v>
      </c>
      <c r="F553" s="304">
        <f t="shared" ca="1" si="242"/>
        <v>0.61117333839087296</v>
      </c>
      <c r="G553" s="306">
        <f t="shared" ca="1" si="243"/>
        <v>5.3439593329535651</v>
      </c>
      <c r="H553" s="307">
        <f t="shared" ca="1" si="244"/>
        <v>-100.42442361252631</v>
      </c>
      <c r="I553" s="304">
        <f t="shared" ca="1" si="245"/>
        <v>100.56650913331134</v>
      </c>
      <c r="J553" s="306">
        <f t="shared" ca="1" si="246"/>
        <v>711.72888807733182</v>
      </c>
      <c r="K553" s="307">
        <f t="shared" ca="1" si="247"/>
        <v>-8.7935636538242488</v>
      </c>
      <c r="L553" s="304">
        <f t="shared" ca="1" si="232"/>
        <v>711.78320919050134</v>
      </c>
      <c r="M553" s="306">
        <f t="shared" ca="1" si="248"/>
        <v>-1.5176327284744944</v>
      </c>
      <c r="N553" s="304">
        <f t="shared" ca="1" si="249"/>
        <v>-86.953950192512167</v>
      </c>
      <c r="P553" s="310">
        <f t="shared" ca="1" si="250"/>
        <v>23</v>
      </c>
      <c r="Q553" s="304">
        <f t="shared" ca="1" si="251"/>
        <v>0</v>
      </c>
      <c r="R553" s="306">
        <f t="shared" ca="1" si="252"/>
        <v>0</v>
      </c>
      <c r="S553" s="307">
        <f t="shared" ca="1" si="253"/>
        <v>2.6792999999999987</v>
      </c>
      <c r="T553" s="304">
        <f t="shared" ca="1" si="233"/>
        <v>26.283932999999987</v>
      </c>
      <c r="U553" s="311">
        <f t="shared" ca="1" si="234"/>
        <v>0</v>
      </c>
      <c r="V553" s="306">
        <f t="shared" ca="1" si="235"/>
        <v>1.2260776853823439</v>
      </c>
      <c r="W553" s="304">
        <f t="shared" ca="1" si="236"/>
        <v>25.392040848618077</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0.31903771494866007</v>
      </c>
      <c r="AH553" s="304">
        <f t="shared" ca="1" si="260"/>
        <v>-9.477101943814878</v>
      </c>
    </row>
    <row r="554" spans="1:34" x14ac:dyDescent="0.2">
      <c r="A554" s="347">
        <f t="shared" ca="1" si="238"/>
        <v>1E-4</v>
      </c>
      <c r="B554" s="304">
        <f t="shared" ca="1" si="239"/>
        <v>36.603600000000327</v>
      </c>
      <c r="D554" s="306">
        <f t="shared" ca="1" si="240"/>
        <v>-0.5036003617128737</v>
      </c>
      <c r="E554" s="307">
        <f t="shared" ca="1" si="241"/>
        <v>-0.34627228332157678</v>
      </c>
      <c r="F554" s="304">
        <f t="shared" ca="1" si="242"/>
        <v>0.61116104139095417</v>
      </c>
      <c r="G554" s="306">
        <f t="shared" ca="1" si="243"/>
        <v>5.3439089729173936</v>
      </c>
      <c r="H554" s="307">
        <f t="shared" ca="1" si="244"/>
        <v>-100.42445823975464</v>
      </c>
      <c r="I554" s="304">
        <f t="shared" ca="1" si="245"/>
        <v>100.56654103557032</v>
      </c>
      <c r="J554" s="306">
        <f t="shared" ca="1" si="246"/>
        <v>711.72888807733182</v>
      </c>
      <c r="K554" s="307">
        <f t="shared" ca="1" si="247"/>
        <v>-8.8036060979168624</v>
      </c>
      <c r="L554" s="304">
        <f t="shared" ca="1" si="232"/>
        <v>711.78333332842408</v>
      </c>
      <c r="M554" s="306">
        <f t="shared" ca="1" si="248"/>
        <v>-1.5176332468270737</v>
      </c>
      <c r="N554" s="304">
        <f t="shared" ca="1" si="249"/>
        <v>-86.953979891927261</v>
      </c>
      <c r="P554" s="310">
        <f t="shared" ca="1" si="250"/>
        <v>23</v>
      </c>
      <c r="Q554" s="304">
        <f t="shared" ca="1" si="251"/>
        <v>0</v>
      </c>
      <c r="R554" s="306">
        <f t="shared" ca="1" si="252"/>
        <v>0</v>
      </c>
      <c r="S554" s="307">
        <f t="shared" ca="1" si="253"/>
        <v>2.6792999999999987</v>
      </c>
      <c r="T554" s="304">
        <f t="shared" ca="1" si="233"/>
        <v>26.283932999999987</v>
      </c>
      <c r="U554" s="311">
        <f t="shared" ca="1" si="234"/>
        <v>0</v>
      </c>
      <c r="V554" s="306">
        <f t="shared" ca="1" si="235"/>
        <v>1.2260789166648614</v>
      </c>
      <c r="W554" s="304">
        <f t="shared" ca="1" si="236"/>
        <v>25.392082458474235</v>
      </c>
      <c r="Y554" s="314" t="str">
        <f t="shared" ca="1" si="254"/>
        <v/>
      </c>
      <c r="Z554" s="315" t="str">
        <f t="shared" ca="1" si="255"/>
        <v/>
      </c>
      <c r="AA554" s="316" t="str">
        <f t="shared" ca="1" si="256"/>
        <v/>
      </c>
      <c r="AC554" s="310" t="e">
        <f t="shared" ca="1" si="257"/>
        <v>#N/A</v>
      </c>
      <c r="AD554" s="323" t="e">
        <f t="shared" ca="1" si="258"/>
        <v>#N/A</v>
      </c>
      <c r="AE554" s="324" t="e">
        <f t="shared" ca="1" si="237"/>
        <v>#N/A</v>
      </c>
      <c r="AG554" s="306">
        <f t="shared" ca="1" si="259"/>
        <v>0.31902245478143243</v>
      </c>
      <c r="AH554" s="304">
        <f t="shared" ca="1" si="260"/>
        <v>-9.4771174741977724</v>
      </c>
    </row>
    <row r="555" spans="1:34" x14ac:dyDescent="0.2">
      <c r="A555" s="347">
        <f t="shared" ca="1" si="238"/>
        <v>1E-4</v>
      </c>
      <c r="B555" s="304">
        <f t="shared" ca="1" si="239"/>
        <v>36.60370000000033</v>
      </c>
      <c r="D555" s="306">
        <f t="shared" ca="1" si="240"/>
        <v>-0.50359628140539825</v>
      </c>
      <c r="E555" s="307">
        <f t="shared" ca="1" si="241"/>
        <v>-0.34625651409952063</v>
      </c>
      <c r="F555" s="304">
        <f t="shared" ca="1" si="242"/>
        <v>0.61114874474361525</v>
      </c>
      <c r="G555" s="306">
        <f t="shared" ca="1" si="243"/>
        <v>5.3438586132892532</v>
      </c>
      <c r="H555" s="307">
        <f t="shared" ca="1" si="244"/>
        <v>-100.42449286540605</v>
      </c>
      <c r="I555" s="304">
        <f t="shared" ca="1" si="245"/>
        <v>100.56657293630333</v>
      </c>
      <c r="J555" s="306">
        <f t="shared" ca="1" si="246"/>
        <v>711.72888807733182</v>
      </c>
      <c r="K555" s="307">
        <f t="shared" ca="1" si="247"/>
        <v>-8.8136485454721196</v>
      </c>
      <c r="L555" s="304">
        <f t="shared" ca="1" si="232"/>
        <v>711.7834576080553</v>
      </c>
      <c r="M555" s="306">
        <f t="shared" ca="1" si="248"/>
        <v>-1.5176337651744392</v>
      </c>
      <c r="N555" s="304">
        <f t="shared" ca="1" si="249"/>
        <v>-86.954009591043615</v>
      </c>
      <c r="P555" s="310">
        <f t="shared" ca="1" si="250"/>
        <v>23</v>
      </c>
      <c r="Q555" s="304">
        <f t="shared" ca="1" si="251"/>
        <v>0</v>
      </c>
      <c r="R555" s="306">
        <f t="shared" ca="1" si="252"/>
        <v>0</v>
      </c>
      <c r="S555" s="307">
        <f t="shared" ca="1" si="253"/>
        <v>2.6792999999999987</v>
      </c>
      <c r="T555" s="304">
        <f t="shared" ca="1" si="233"/>
        <v>26.283932999999987</v>
      </c>
      <c r="U555" s="311">
        <f t="shared" ca="1" si="234"/>
        <v>0</v>
      </c>
      <c r="V555" s="306">
        <f t="shared" ca="1" si="235"/>
        <v>1.2260801479490402</v>
      </c>
      <c r="W555" s="304">
        <f t="shared" ca="1" si="236"/>
        <v>25.39212406763167</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0.31900719486964135</v>
      </c>
      <c r="AH555" s="304">
        <f t="shared" ca="1" si="260"/>
        <v>-9.477133004319878</v>
      </c>
    </row>
    <row r="556" spans="1:34" x14ac:dyDescent="0.2">
      <c r="A556" s="347">
        <f t="shared" ca="1" si="238"/>
        <v>1E-4</v>
      </c>
      <c r="B556" s="304">
        <f t="shared" ca="1" si="239"/>
        <v>36.603800000000334</v>
      </c>
      <c r="D556" s="306">
        <f t="shared" ca="1" si="240"/>
        <v>-0.50359220111719494</v>
      </c>
      <c r="E556" s="307">
        <f t="shared" ca="1" si="241"/>
        <v>-0.34624074514219672</v>
      </c>
      <c r="F556" s="304">
        <f t="shared" ca="1" si="242"/>
        <v>0.61113644844885906</v>
      </c>
      <c r="G556" s="306">
        <f t="shared" ca="1" si="243"/>
        <v>5.3438082540691418</v>
      </c>
      <c r="H556" s="307">
        <f t="shared" ca="1" si="244"/>
        <v>-100.42452748948057</v>
      </c>
      <c r="I556" s="304">
        <f t="shared" ca="1" si="245"/>
        <v>100.56660483551036</v>
      </c>
      <c r="J556" s="306">
        <f t="shared" ca="1" si="246"/>
        <v>711.72888807733182</v>
      </c>
      <c r="K556" s="307">
        <f t="shared" ca="1" si="247"/>
        <v>-8.823690996489864</v>
      </c>
      <c r="L556" s="304">
        <f t="shared" ca="1" si="232"/>
        <v>711.78358202939512</v>
      </c>
      <c r="M556" s="306">
        <f t="shared" ca="1" si="248"/>
        <v>-1.5176342835165912</v>
      </c>
      <c r="N556" s="304">
        <f t="shared" ca="1" si="249"/>
        <v>-86.954039289861285</v>
      </c>
      <c r="P556" s="310">
        <f t="shared" ca="1" si="250"/>
        <v>23</v>
      </c>
      <c r="Q556" s="304">
        <f t="shared" ca="1" si="251"/>
        <v>0</v>
      </c>
      <c r="R556" s="306">
        <f t="shared" ca="1" si="252"/>
        <v>0</v>
      </c>
      <c r="S556" s="307">
        <f t="shared" ca="1" si="253"/>
        <v>2.6792999999999987</v>
      </c>
      <c r="T556" s="304">
        <f t="shared" ca="1" si="233"/>
        <v>26.283932999999987</v>
      </c>
      <c r="U556" s="311">
        <f t="shared" ca="1" si="234"/>
        <v>0</v>
      </c>
      <c r="V556" s="306">
        <f t="shared" ca="1" si="235"/>
        <v>1.2260813792348813</v>
      </c>
      <c r="W556" s="304">
        <f t="shared" ca="1" si="236"/>
        <v>25.392165676090404</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0.31899193521329039</v>
      </c>
      <c r="AH556" s="304">
        <f t="shared" ca="1" si="260"/>
        <v>-9.4771485341811967</v>
      </c>
    </row>
    <row r="557" spans="1:34" x14ac:dyDescent="0.2">
      <c r="A557" s="347">
        <f t="shared" ca="1" si="238"/>
        <v>1E-4</v>
      </c>
      <c r="B557" s="304">
        <f t="shared" ca="1" si="239"/>
        <v>36.603900000000337</v>
      </c>
      <c r="D557" s="306">
        <f t="shared" ca="1" si="240"/>
        <v>-0.50358812084826077</v>
      </c>
      <c r="E557" s="307">
        <f t="shared" ca="1" si="241"/>
        <v>-0.3462249764495926</v>
      </c>
      <c r="F557" s="304">
        <f t="shared" ca="1" si="242"/>
        <v>0.6111241525066764</v>
      </c>
      <c r="G557" s="306">
        <f t="shared" ca="1" si="243"/>
        <v>5.343757895257057</v>
      </c>
      <c r="H557" s="307">
        <f t="shared" ca="1" si="244"/>
        <v>-100.42456211197822</v>
      </c>
      <c r="I557" s="304">
        <f t="shared" ca="1" si="245"/>
        <v>100.56663673319146</v>
      </c>
      <c r="J557" s="306">
        <f t="shared" ca="1" si="246"/>
        <v>711.72888807733182</v>
      </c>
      <c r="K557" s="307">
        <f t="shared" ca="1" si="247"/>
        <v>-8.8337334509699375</v>
      </c>
      <c r="L557" s="304">
        <f t="shared" ca="1" si="232"/>
        <v>711.78370659244365</v>
      </c>
      <c r="M557" s="306">
        <f t="shared" ca="1" si="248"/>
        <v>-1.5176348018535295</v>
      </c>
      <c r="N557" s="304">
        <f t="shared" ca="1" si="249"/>
        <v>-86.9540689883802</v>
      </c>
      <c r="P557" s="310">
        <f t="shared" ca="1" si="250"/>
        <v>23</v>
      </c>
      <c r="Q557" s="304">
        <f t="shared" ca="1" si="251"/>
        <v>0</v>
      </c>
      <c r="R557" s="306">
        <f t="shared" ca="1" si="252"/>
        <v>0</v>
      </c>
      <c r="S557" s="307">
        <f t="shared" ca="1" si="253"/>
        <v>2.6792999999999987</v>
      </c>
      <c r="T557" s="304">
        <f t="shared" ca="1" si="233"/>
        <v>26.283932999999987</v>
      </c>
      <c r="U557" s="311">
        <f t="shared" ca="1" si="234"/>
        <v>0</v>
      </c>
      <c r="V557" s="306">
        <f t="shared" ca="1" si="235"/>
        <v>1.2260826105223832</v>
      </c>
      <c r="W557" s="304">
        <f t="shared" ca="1" si="236"/>
        <v>25.392207283850436</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0.31897667581236533</v>
      </c>
      <c r="AH557" s="304">
        <f t="shared" ca="1" si="260"/>
        <v>-9.4771640637817391</v>
      </c>
    </row>
    <row r="558" spans="1:34" x14ac:dyDescent="0.2">
      <c r="A558" s="347">
        <f t="shared" ca="1" si="238"/>
        <v>1E-4</v>
      </c>
      <c r="B558" s="304">
        <f t="shared" ca="1" si="239"/>
        <v>36.60400000000034</v>
      </c>
      <c r="D558" s="306">
        <f t="shared" ca="1" si="240"/>
        <v>-0.50358404059860051</v>
      </c>
      <c r="E558" s="307">
        <f t="shared" ca="1" si="241"/>
        <v>-0.34620920802171007</v>
      </c>
      <c r="F558" s="304">
        <f t="shared" ca="1" si="242"/>
        <v>0.61111185691707259</v>
      </c>
      <c r="G558" s="306">
        <f t="shared" ca="1" si="243"/>
        <v>5.3437075368529969</v>
      </c>
      <c r="H558" s="307">
        <f t="shared" ca="1" si="244"/>
        <v>-100.42459673289902</v>
      </c>
      <c r="I558" s="304">
        <f t="shared" ca="1" si="245"/>
        <v>100.56666862934664</v>
      </c>
      <c r="J558" s="306">
        <f t="shared" ca="1" si="246"/>
        <v>711.72888807733182</v>
      </c>
      <c r="K558" s="307">
        <f t="shared" ca="1" si="247"/>
        <v>-8.8437759089121819</v>
      </c>
      <c r="L558" s="304">
        <f t="shared" ca="1" si="232"/>
        <v>711.78383129720089</v>
      </c>
      <c r="M558" s="306">
        <f t="shared" ca="1" si="248"/>
        <v>-1.5176353201852546</v>
      </c>
      <c r="N558" s="304">
        <f t="shared" ca="1" si="249"/>
        <v>-86.954098686600446</v>
      </c>
      <c r="P558" s="310">
        <f t="shared" ca="1" si="250"/>
        <v>23</v>
      </c>
      <c r="Q558" s="304">
        <f t="shared" ca="1" si="251"/>
        <v>0</v>
      </c>
      <c r="R558" s="306">
        <f t="shared" ca="1" si="252"/>
        <v>0</v>
      </c>
      <c r="S558" s="307">
        <f t="shared" ca="1" si="253"/>
        <v>2.6792999999999987</v>
      </c>
      <c r="T558" s="304">
        <f t="shared" ca="1" si="233"/>
        <v>26.283932999999987</v>
      </c>
      <c r="U558" s="311">
        <f t="shared" ca="1" si="234"/>
        <v>0</v>
      </c>
      <c r="V558" s="306">
        <f t="shared" ca="1" si="235"/>
        <v>1.2260838418115472</v>
      </c>
      <c r="W558" s="304">
        <f t="shared" ca="1" si="236"/>
        <v>25.39224889091178</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0.31896141666686439</v>
      </c>
      <c r="AH558" s="304">
        <f t="shared" ca="1" si="260"/>
        <v>-9.4771795931215053</v>
      </c>
    </row>
    <row r="559" spans="1:34" x14ac:dyDescent="0.2">
      <c r="A559" s="347">
        <f t="shared" ca="1" si="238"/>
        <v>1E-4</v>
      </c>
      <c r="B559" s="304">
        <f t="shared" ca="1" si="239"/>
        <v>36.604100000000344</v>
      </c>
      <c r="D559" s="306">
        <f t="shared" ca="1" si="240"/>
        <v>-0.50357996036820885</v>
      </c>
      <c r="E559" s="307">
        <f t="shared" ca="1" si="241"/>
        <v>-0.34619343985854556</v>
      </c>
      <c r="F559" s="304">
        <f t="shared" ca="1" si="242"/>
        <v>0.61109956168004176</v>
      </c>
      <c r="G559" s="306">
        <f t="shared" ca="1" si="243"/>
        <v>5.3436571788569598</v>
      </c>
      <c r="H559" s="307">
        <f t="shared" ca="1" si="244"/>
        <v>-100.42463135224301</v>
      </c>
      <c r="I559" s="304">
        <f t="shared" ca="1" si="245"/>
        <v>100.56670052397592</v>
      </c>
      <c r="J559" s="306">
        <f t="shared" ca="1" si="246"/>
        <v>711.72888807733182</v>
      </c>
      <c r="K559" s="307">
        <f t="shared" ca="1" si="247"/>
        <v>-8.8538183703164393</v>
      </c>
      <c r="L559" s="304">
        <f t="shared" ca="1" si="232"/>
        <v>711.78395614366696</v>
      </c>
      <c r="M559" s="306">
        <f t="shared" ca="1" si="248"/>
        <v>-1.5176358385117661</v>
      </c>
      <c r="N559" s="304">
        <f t="shared" ca="1" si="249"/>
        <v>-86.954128384521965</v>
      </c>
      <c r="P559" s="310">
        <f t="shared" ca="1" si="250"/>
        <v>23</v>
      </c>
      <c r="Q559" s="304">
        <f t="shared" ca="1" si="251"/>
        <v>0</v>
      </c>
      <c r="R559" s="306">
        <f t="shared" ca="1" si="252"/>
        <v>0</v>
      </c>
      <c r="S559" s="307">
        <f t="shared" ca="1" si="253"/>
        <v>2.6792999999999987</v>
      </c>
      <c r="T559" s="304">
        <f t="shared" ca="1" si="233"/>
        <v>26.283932999999987</v>
      </c>
      <c r="U559" s="311">
        <f t="shared" ca="1" si="234"/>
        <v>0</v>
      </c>
      <c r="V559" s="306">
        <f t="shared" ca="1" si="235"/>
        <v>1.2260850731023722</v>
      </c>
      <c r="W559" s="304">
        <f t="shared" ca="1" si="236"/>
        <v>25.392290497274438</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0.31894615777679114</v>
      </c>
      <c r="AH559" s="304">
        <f t="shared" ca="1" si="260"/>
        <v>-9.4771951222004969</v>
      </c>
    </row>
    <row r="560" spans="1:34" x14ac:dyDescent="0.2">
      <c r="A560" s="347">
        <f t="shared" ca="1" si="238"/>
        <v>1E-4</v>
      </c>
      <c r="B560" s="304">
        <f t="shared" ca="1" si="239"/>
        <v>36.604200000000347</v>
      </c>
      <c r="D560" s="306">
        <f t="shared" ca="1" si="240"/>
        <v>-0.50357588015709065</v>
      </c>
      <c r="E560" s="307">
        <f t="shared" ca="1" si="241"/>
        <v>-0.34617767196009552</v>
      </c>
      <c r="F560" s="304">
        <f t="shared" ca="1" si="242"/>
        <v>0.61108726679558623</v>
      </c>
      <c r="G560" s="306">
        <f t="shared" ca="1" si="243"/>
        <v>5.3436068212689438</v>
      </c>
      <c r="H560" s="307">
        <f t="shared" ca="1" si="244"/>
        <v>-100.42466597001021</v>
      </c>
      <c r="I560" s="304">
        <f t="shared" ca="1" si="245"/>
        <v>100.56673241707935</v>
      </c>
      <c r="J560" s="306">
        <f t="shared" ca="1" si="246"/>
        <v>711.72888807733182</v>
      </c>
      <c r="K560" s="307">
        <f t="shared" ca="1" si="247"/>
        <v>-8.8638608351825514</v>
      </c>
      <c r="L560" s="304">
        <f t="shared" ca="1" si="232"/>
        <v>711.78408113184196</v>
      </c>
      <c r="M560" s="306">
        <f t="shared" ca="1" si="248"/>
        <v>-1.5176363568330642</v>
      </c>
      <c r="N560" s="304">
        <f t="shared" ca="1" si="249"/>
        <v>-86.954158082144772</v>
      </c>
      <c r="P560" s="310">
        <f t="shared" ca="1" si="250"/>
        <v>23</v>
      </c>
      <c r="Q560" s="304">
        <f t="shared" ca="1" si="251"/>
        <v>0</v>
      </c>
      <c r="R560" s="306">
        <f t="shared" ca="1" si="252"/>
        <v>0</v>
      </c>
      <c r="S560" s="307">
        <f t="shared" ca="1" si="253"/>
        <v>2.6792999999999987</v>
      </c>
      <c r="T560" s="304">
        <f t="shared" ca="1" si="233"/>
        <v>26.283932999999987</v>
      </c>
      <c r="U560" s="311">
        <f t="shared" ca="1" si="234"/>
        <v>0</v>
      </c>
      <c r="V560" s="306">
        <f t="shared" ca="1" si="235"/>
        <v>1.2260863043948591</v>
      </c>
      <c r="W560" s="304">
        <f t="shared" ca="1" si="236"/>
        <v>25.392332102938429</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0.31893089914213668</v>
      </c>
      <c r="AH560" s="304">
        <f t="shared" ca="1" si="260"/>
        <v>-9.4772106510187175</v>
      </c>
    </row>
    <row r="561" spans="1:34" x14ac:dyDescent="0.2">
      <c r="A561" s="347">
        <f t="shared" ca="1" si="238"/>
        <v>1E-4</v>
      </c>
      <c r="B561" s="304">
        <f t="shared" ca="1" si="239"/>
        <v>36.60430000000035</v>
      </c>
      <c r="D561" s="306">
        <f t="shared" ca="1" si="240"/>
        <v>-0.50357179996524482</v>
      </c>
      <c r="E561" s="307">
        <f t="shared" ca="1" si="241"/>
        <v>-0.34616190432635463</v>
      </c>
      <c r="F561" s="304">
        <f t="shared" ca="1" si="242"/>
        <v>0.61107497226370255</v>
      </c>
      <c r="G561" s="306">
        <f t="shared" ca="1" si="243"/>
        <v>5.3435564640889472</v>
      </c>
      <c r="H561" s="307">
        <f t="shared" ca="1" si="244"/>
        <v>-100.42470058620064</v>
      </c>
      <c r="I561" s="304">
        <f t="shared" ca="1" si="245"/>
        <v>100.56676430865694</v>
      </c>
      <c r="J561" s="306">
        <f t="shared" ca="1" si="246"/>
        <v>711.72888807733182</v>
      </c>
      <c r="K561" s="307">
        <f t="shared" ca="1" si="247"/>
        <v>-8.8739033035103621</v>
      </c>
      <c r="L561" s="304">
        <f t="shared" ca="1" si="232"/>
        <v>711.7842062617259</v>
      </c>
      <c r="M561" s="306">
        <f t="shared" ca="1" si="248"/>
        <v>-1.5176368751491489</v>
      </c>
      <c r="N561" s="304">
        <f t="shared" ca="1" si="249"/>
        <v>-86.954187779468882</v>
      </c>
      <c r="P561" s="310">
        <f t="shared" ca="1" si="250"/>
        <v>23</v>
      </c>
      <c r="Q561" s="304">
        <f t="shared" ca="1" si="251"/>
        <v>0</v>
      </c>
      <c r="R561" s="306">
        <f t="shared" ca="1" si="252"/>
        <v>0</v>
      </c>
      <c r="S561" s="307">
        <f t="shared" ca="1" si="253"/>
        <v>2.6792999999999987</v>
      </c>
      <c r="T561" s="304">
        <f t="shared" ca="1" si="233"/>
        <v>26.283932999999987</v>
      </c>
      <c r="U561" s="311">
        <f t="shared" ca="1" si="234"/>
        <v>0</v>
      </c>
      <c r="V561" s="306">
        <f t="shared" ca="1" si="235"/>
        <v>1.2260875356890071</v>
      </c>
      <c r="W561" s="304">
        <f t="shared" ca="1" si="236"/>
        <v>25.392373707903758</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0.31891564076289747</v>
      </c>
      <c r="AH561" s="304">
        <f t="shared" ca="1" si="260"/>
        <v>-9.4772261795761743</v>
      </c>
    </row>
    <row r="562" spans="1:34" x14ac:dyDescent="0.2">
      <c r="A562" s="347">
        <f t="shared" ca="1" si="238"/>
        <v>1E-4</v>
      </c>
      <c r="B562" s="304">
        <f t="shared" ca="1" si="239"/>
        <v>36.604400000000354</v>
      </c>
      <c r="D562" s="306">
        <f t="shared" ca="1" si="240"/>
        <v>-0.5035677197926719</v>
      </c>
      <c r="E562" s="307">
        <f t="shared" ca="1" si="241"/>
        <v>-0.34614613695732466</v>
      </c>
      <c r="F562" s="304">
        <f t="shared" ca="1" si="242"/>
        <v>0.61106267808439241</v>
      </c>
      <c r="G562" s="306">
        <f t="shared" ca="1" si="243"/>
        <v>5.3435061073169683</v>
      </c>
      <c r="H562" s="307">
        <f t="shared" ca="1" si="244"/>
        <v>-100.42473520081434</v>
      </c>
      <c r="I562" s="304">
        <f t="shared" ca="1" si="245"/>
        <v>100.56679619870872</v>
      </c>
      <c r="J562" s="306">
        <f t="shared" ca="1" si="246"/>
        <v>711.72888807733182</v>
      </c>
      <c r="K562" s="307">
        <f t="shared" ca="1" si="247"/>
        <v>-8.8839457752997131</v>
      </c>
      <c r="L562" s="304">
        <f t="shared" ca="1" si="232"/>
        <v>711.78433153331889</v>
      </c>
      <c r="M562" s="306">
        <f t="shared" ca="1" si="248"/>
        <v>-1.5176373934600205</v>
      </c>
      <c r="N562" s="304">
        <f t="shared" ca="1" si="249"/>
        <v>-86.954217476494293</v>
      </c>
      <c r="P562" s="310">
        <f t="shared" ca="1" si="250"/>
        <v>23</v>
      </c>
      <c r="Q562" s="304">
        <f t="shared" ca="1" si="251"/>
        <v>0</v>
      </c>
      <c r="R562" s="306">
        <f t="shared" ca="1" si="252"/>
        <v>0</v>
      </c>
      <c r="S562" s="307">
        <f t="shared" ca="1" si="253"/>
        <v>2.6792999999999987</v>
      </c>
      <c r="T562" s="304">
        <f t="shared" ca="1" si="233"/>
        <v>26.283932999999987</v>
      </c>
      <c r="U562" s="311">
        <f t="shared" ca="1" si="234"/>
        <v>0</v>
      </c>
      <c r="V562" s="306">
        <f t="shared" ca="1" si="235"/>
        <v>1.2260887669848168</v>
      </c>
      <c r="W562" s="304">
        <f t="shared" ca="1" si="236"/>
        <v>25.392415312170435</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0.31890038263907527</v>
      </c>
      <c r="AH562" s="304">
        <f t="shared" ca="1" si="260"/>
        <v>-9.4772417078728655</v>
      </c>
    </row>
    <row r="563" spans="1:34" x14ac:dyDescent="0.2">
      <c r="A563" s="347">
        <f t="shared" ca="1" si="238"/>
        <v>1E-4</v>
      </c>
      <c r="B563" s="304">
        <f t="shared" ca="1" si="239"/>
        <v>36.604500000000357</v>
      </c>
      <c r="D563" s="306">
        <f t="shared" ca="1" si="240"/>
        <v>-0.50356363963937101</v>
      </c>
      <c r="E563" s="307">
        <f t="shared" ca="1" si="241"/>
        <v>-0.34613036985299317</v>
      </c>
      <c r="F563" s="304">
        <f t="shared" ca="1" si="242"/>
        <v>0.61105038425764868</v>
      </c>
      <c r="G563" s="306">
        <f t="shared" ca="1" si="243"/>
        <v>5.3434557509530043</v>
      </c>
      <c r="H563" s="307">
        <f t="shared" ca="1" si="244"/>
        <v>-100.42476981385133</v>
      </c>
      <c r="I563" s="304">
        <f t="shared" ca="1" si="245"/>
        <v>100.5668280872347</v>
      </c>
      <c r="J563" s="306">
        <f t="shared" ca="1" si="246"/>
        <v>711.72888807733182</v>
      </c>
      <c r="K563" s="307">
        <f t="shared" ca="1" si="247"/>
        <v>-8.8939882505504464</v>
      </c>
      <c r="L563" s="304">
        <f t="shared" ca="1" si="232"/>
        <v>711.78445694662094</v>
      </c>
      <c r="M563" s="306">
        <f t="shared" ca="1" si="248"/>
        <v>-1.5176379117656789</v>
      </c>
      <c r="N563" s="304">
        <f t="shared" ca="1" si="249"/>
        <v>-86.95424717322102</v>
      </c>
      <c r="P563" s="310">
        <f t="shared" ca="1" si="250"/>
        <v>23</v>
      </c>
      <c r="Q563" s="304">
        <f t="shared" ca="1" si="251"/>
        <v>0</v>
      </c>
      <c r="R563" s="306">
        <f t="shared" ca="1" si="252"/>
        <v>0</v>
      </c>
      <c r="S563" s="307">
        <f t="shared" ca="1" si="253"/>
        <v>2.6792999999999987</v>
      </c>
      <c r="T563" s="304">
        <f t="shared" ca="1" si="233"/>
        <v>26.283932999999987</v>
      </c>
      <c r="U563" s="311">
        <f t="shared" ca="1" si="234"/>
        <v>0</v>
      </c>
      <c r="V563" s="306">
        <f t="shared" ca="1" si="235"/>
        <v>1.2260899982822884</v>
      </c>
      <c r="W563" s="304">
        <f t="shared" ca="1" si="236"/>
        <v>25.392456915738467</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0.31888512477066122</v>
      </c>
      <c r="AH563" s="304">
        <f t="shared" ca="1" si="260"/>
        <v>-9.4772572359087999</v>
      </c>
    </row>
    <row r="564" spans="1:34" x14ac:dyDescent="0.2">
      <c r="A564" s="347">
        <f t="shared" ca="1" si="238"/>
        <v>1E-4</v>
      </c>
      <c r="B564" s="304">
        <f t="shared" ca="1" si="239"/>
        <v>36.60460000000036</v>
      </c>
      <c r="D564" s="306">
        <f t="shared" ca="1" si="240"/>
        <v>-0.50355955950534281</v>
      </c>
      <c r="E564" s="307">
        <f t="shared" ca="1" si="241"/>
        <v>-0.34611460301336372</v>
      </c>
      <c r="F564" s="304">
        <f t="shared" ca="1" si="242"/>
        <v>0.61103809078347415</v>
      </c>
      <c r="G564" s="306">
        <f t="shared" ca="1" si="243"/>
        <v>5.3434053949970535</v>
      </c>
      <c r="H564" s="307">
        <f t="shared" ca="1" si="244"/>
        <v>-100.42480442531163</v>
      </c>
      <c r="I564" s="304">
        <f t="shared" ca="1" si="245"/>
        <v>100.56685997423493</v>
      </c>
      <c r="J564" s="306">
        <f t="shared" ca="1" si="246"/>
        <v>711.72888807733182</v>
      </c>
      <c r="K564" s="307">
        <f t="shared" ca="1" si="247"/>
        <v>-8.9040307292624039</v>
      </c>
      <c r="L564" s="304">
        <f t="shared" ca="1" si="232"/>
        <v>711.78458250163214</v>
      </c>
      <c r="M564" s="306">
        <f t="shared" ca="1" si="248"/>
        <v>-1.5176384300661241</v>
      </c>
      <c r="N564" s="304">
        <f t="shared" ca="1" si="249"/>
        <v>-86.95427686964905</v>
      </c>
      <c r="P564" s="310">
        <f t="shared" ca="1" si="250"/>
        <v>23</v>
      </c>
      <c r="Q564" s="304">
        <f t="shared" ca="1" si="251"/>
        <v>0</v>
      </c>
      <c r="R564" s="306">
        <f t="shared" ca="1" si="252"/>
        <v>0</v>
      </c>
      <c r="S564" s="307">
        <f t="shared" ca="1" si="253"/>
        <v>2.6792999999999987</v>
      </c>
      <c r="T564" s="304">
        <f t="shared" ca="1" si="233"/>
        <v>26.283932999999987</v>
      </c>
      <c r="U564" s="311">
        <f t="shared" ca="1" si="234"/>
        <v>0</v>
      </c>
      <c r="V564" s="306">
        <f t="shared" ca="1" si="235"/>
        <v>1.226091229581421</v>
      </c>
      <c r="W564" s="304">
        <f t="shared" ca="1" si="236"/>
        <v>25.392498518607884</v>
      </c>
      <c r="Y564" s="314" t="str">
        <f t="shared" ca="1" si="254"/>
        <v/>
      </c>
      <c r="Z564" s="315" t="str">
        <f t="shared" ca="1" si="255"/>
        <v/>
      </c>
      <c r="AA564" s="316" t="str">
        <f t="shared" ca="1" si="256"/>
        <v/>
      </c>
      <c r="AC564" s="310" t="e">
        <f t="shared" ca="1" si="257"/>
        <v>#N/A</v>
      </c>
      <c r="AD564" s="323" t="e">
        <f t="shared" ca="1" si="258"/>
        <v>#N/A</v>
      </c>
      <c r="AE564" s="324" t="e">
        <f t="shared" ca="1" si="237"/>
        <v>#N/A</v>
      </c>
      <c r="AG564" s="306">
        <f t="shared" ca="1" si="259"/>
        <v>0.31886986715765531</v>
      </c>
      <c r="AH564" s="304">
        <f t="shared" ca="1" si="260"/>
        <v>-9.4772727636839775</v>
      </c>
    </row>
    <row r="565" spans="1:34" x14ac:dyDescent="0.2">
      <c r="A565" s="347">
        <f t="shared" ca="1" si="238"/>
        <v>1E-4</v>
      </c>
      <c r="B565" s="304">
        <f t="shared" ca="1" si="239"/>
        <v>36.604700000000364</v>
      </c>
      <c r="D565" s="306">
        <f t="shared" ca="1" si="240"/>
        <v>-0.50355547939058853</v>
      </c>
      <c r="E565" s="307">
        <f t="shared" ca="1" si="241"/>
        <v>-0.34609883643842387</v>
      </c>
      <c r="F565" s="304">
        <f t="shared" ca="1" si="242"/>
        <v>0.61102579766186327</v>
      </c>
      <c r="G565" s="306">
        <f t="shared" ca="1" si="243"/>
        <v>5.3433550394491141</v>
      </c>
      <c r="H565" s="307">
        <f t="shared" ca="1" si="244"/>
        <v>-100.42483903519528</v>
      </c>
      <c r="I565" s="304">
        <f t="shared" ca="1" si="245"/>
        <v>100.5668918597094</v>
      </c>
      <c r="J565" s="306">
        <f t="shared" ca="1" si="246"/>
        <v>711.72888807733182</v>
      </c>
      <c r="K565" s="307">
        <f t="shared" ca="1" si="247"/>
        <v>-8.9140732114354293</v>
      </c>
      <c r="L565" s="304">
        <f t="shared" ca="1" si="232"/>
        <v>711.78470819835263</v>
      </c>
      <c r="M565" s="306">
        <f t="shared" ca="1" si="248"/>
        <v>-1.5176389483613564</v>
      </c>
      <c r="N565" s="304">
        <f t="shared" ca="1" si="249"/>
        <v>-86.95430656577841</v>
      </c>
      <c r="P565" s="310">
        <f t="shared" ca="1" si="250"/>
        <v>23</v>
      </c>
      <c r="Q565" s="304">
        <f t="shared" ca="1" si="251"/>
        <v>0</v>
      </c>
      <c r="R565" s="306">
        <f t="shared" ca="1" si="252"/>
        <v>0</v>
      </c>
      <c r="S565" s="307">
        <f t="shared" ca="1" si="253"/>
        <v>2.6792999999999987</v>
      </c>
      <c r="T565" s="304">
        <f t="shared" ca="1" si="233"/>
        <v>26.283932999999987</v>
      </c>
      <c r="U565" s="311">
        <f t="shared" ca="1" si="234"/>
        <v>0</v>
      </c>
      <c r="V565" s="306">
        <f t="shared" ca="1" si="235"/>
        <v>1.2260924608822152</v>
      </c>
      <c r="W565" s="304">
        <f t="shared" ca="1" si="236"/>
        <v>25.392540120778659</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0.3188546098000451</v>
      </c>
      <c r="AH565" s="304">
        <f t="shared" ca="1" si="260"/>
        <v>-9.4772882911984091</v>
      </c>
    </row>
    <row r="566" spans="1:34" x14ac:dyDescent="0.2">
      <c r="A566" s="347">
        <f t="shared" ca="1" si="238"/>
        <v>1E-4</v>
      </c>
      <c r="B566" s="304">
        <f t="shared" ca="1" si="239"/>
        <v>36.604800000000367</v>
      </c>
      <c r="D566" s="306">
        <f t="shared" ca="1" si="240"/>
        <v>-0.50355139929510606</v>
      </c>
      <c r="E566" s="307">
        <f t="shared" ca="1" si="241"/>
        <v>-0.34608307012818251</v>
      </c>
      <c r="F566" s="304">
        <f t="shared" ca="1" si="242"/>
        <v>0.61101350489281969</v>
      </c>
      <c r="G566" s="306">
        <f t="shared" ca="1" si="243"/>
        <v>5.3433046843091843</v>
      </c>
      <c r="H566" s="307">
        <f t="shared" ca="1" si="244"/>
        <v>-100.42487364350229</v>
      </c>
      <c r="I566" s="304">
        <f t="shared" ca="1" si="245"/>
        <v>100.56692374365819</v>
      </c>
      <c r="J566" s="306">
        <f t="shared" ca="1" si="246"/>
        <v>711.72888807733182</v>
      </c>
      <c r="K566" s="307">
        <f t="shared" ca="1" si="247"/>
        <v>-8.9241156970693645</v>
      </c>
      <c r="L566" s="304">
        <f t="shared" ca="1" si="232"/>
        <v>711.7848340367824</v>
      </c>
      <c r="M566" s="306">
        <f t="shared" ca="1" si="248"/>
        <v>-1.5176394666513757</v>
      </c>
      <c r="N566" s="304">
        <f t="shared" ca="1" si="249"/>
        <v>-86.954336261609072</v>
      </c>
      <c r="P566" s="310">
        <f t="shared" ca="1" si="250"/>
        <v>23</v>
      </c>
      <c r="Q566" s="304">
        <f t="shared" ca="1" si="251"/>
        <v>0</v>
      </c>
      <c r="R566" s="306">
        <f t="shared" ca="1" si="252"/>
        <v>0</v>
      </c>
      <c r="S566" s="307">
        <f t="shared" ca="1" si="253"/>
        <v>2.6792999999999987</v>
      </c>
      <c r="T566" s="304">
        <f t="shared" ca="1" si="233"/>
        <v>26.283932999999987</v>
      </c>
      <c r="U566" s="311">
        <f t="shared" ca="1" si="234"/>
        <v>0</v>
      </c>
      <c r="V566" s="306">
        <f t="shared" ca="1" si="235"/>
        <v>1.2260936921846708</v>
      </c>
      <c r="W566" s="304">
        <f t="shared" ca="1" si="236"/>
        <v>25.392581722250839</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0.31883935269784303</v>
      </c>
      <c r="AH566" s="304">
        <f t="shared" ca="1" si="260"/>
        <v>-9.4773038184520857</v>
      </c>
    </row>
    <row r="567" spans="1:34" x14ac:dyDescent="0.2">
      <c r="A567" s="347">
        <f t="shared" ca="1" si="238"/>
        <v>1E-4</v>
      </c>
      <c r="B567" s="304">
        <f t="shared" ca="1" si="239"/>
        <v>36.60490000000037</v>
      </c>
      <c r="D567" s="306">
        <f t="shared" ca="1" si="240"/>
        <v>-0.50354731921889717</v>
      </c>
      <c r="E567" s="307">
        <f t="shared" ca="1" si="241"/>
        <v>-0.34606730408262365</v>
      </c>
      <c r="F567" s="304">
        <f t="shared" ca="1" si="242"/>
        <v>0.61100121247633621</v>
      </c>
      <c r="G567" s="306">
        <f t="shared" ca="1" si="243"/>
        <v>5.3432543295772623</v>
      </c>
      <c r="H567" s="307">
        <f t="shared" ca="1" si="244"/>
        <v>-100.4249082502327</v>
      </c>
      <c r="I567" s="304">
        <f t="shared" ca="1" si="245"/>
        <v>100.5669556260813</v>
      </c>
      <c r="J567" s="306">
        <f t="shared" ca="1" si="246"/>
        <v>711.72888807733182</v>
      </c>
      <c r="K567" s="307">
        <f t="shared" ca="1" si="247"/>
        <v>-8.9341581861640513</v>
      </c>
      <c r="L567" s="304">
        <f t="shared" ca="1" si="232"/>
        <v>711.78496001692156</v>
      </c>
      <c r="M567" s="306">
        <f t="shared" ca="1" si="248"/>
        <v>-1.5176399849361819</v>
      </c>
      <c r="N567" s="304">
        <f t="shared" ca="1" si="249"/>
        <v>-86.95436595714105</v>
      </c>
      <c r="P567" s="310">
        <f t="shared" ca="1" si="250"/>
        <v>23</v>
      </c>
      <c r="Q567" s="304">
        <f t="shared" ca="1" si="251"/>
        <v>0</v>
      </c>
      <c r="R567" s="306">
        <f t="shared" ca="1" si="252"/>
        <v>0</v>
      </c>
      <c r="S567" s="307">
        <f t="shared" ca="1" si="253"/>
        <v>2.6792999999999987</v>
      </c>
      <c r="T567" s="304">
        <f t="shared" ca="1" si="233"/>
        <v>26.283932999999987</v>
      </c>
      <c r="U567" s="311">
        <f t="shared" ca="1" si="234"/>
        <v>0</v>
      </c>
      <c r="V567" s="306">
        <f t="shared" ca="1" si="235"/>
        <v>1.2260949234887875</v>
      </c>
      <c r="W567" s="304">
        <f t="shared" ca="1" si="236"/>
        <v>25.392623323024402</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0.31882409585102955</v>
      </c>
      <c r="AH567" s="304">
        <f t="shared" ca="1" si="260"/>
        <v>-9.4773193454450233</v>
      </c>
    </row>
    <row r="568" spans="1:34" x14ac:dyDescent="0.2">
      <c r="A568" s="347">
        <f t="shared" ca="1" si="238"/>
        <v>1E-4</v>
      </c>
      <c r="B568" s="304">
        <f t="shared" ca="1" si="239"/>
        <v>36.605000000000373</v>
      </c>
      <c r="D568" s="306">
        <f t="shared" ca="1" si="240"/>
        <v>-0.50354323916196408</v>
      </c>
      <c r="E568" s="307">
        <f t="shared" ca="1" si="241"/>
        <v>-0.34605153830175439</v>
      </c>
      <c r="F568" s="304">
        <f t="shared" ca="1" si="242"/>
        <v>0.61098892041241926</v>
      </c>
      <c r="G568" s="306">
        <f t="shared" ca="1" si="243"/>
        <v>5.3432039752533464</v>
      </c>
      <c r="H568" s="307">
        <f t="shared" ca="1" si="244"/>
        <v>-100.42494285538653</v>
      </c>
      <c r="I568" s="304">
        <f t="shared" ca="1" si="245"/>
        <v>100.56698750697872</v>
      </c>
      <c r="J568" s="306">
        <f t="shared" ca="1" si="246"/>
        <v>711.72888807733182</v>
      </c>
      <c r="K568" s="307">
        <f t="shared" ca="1" si="247"/>
        <v>-8.9442006787193318</v>
      </c>
      <c r="L568" s="304">
        <f t="shared" ca="1" si="232"/>
        <v>711.78508613877011</v>
      </c>
      <c r="M568" s="306">
        <f t="shared" ca="1" si="248"/>
        <v>-1.5176405032157754</v>
      </c>
      <c r="N568" s="304">
        <f t="shared" ca="1" si="249"/>
        <v>-86.954395652374373</v>
      </c>
      <c r="P568" s="310">
        <f t="shared" ca="1" si="250"/>
        <v>23</v>
      </c>
      <c r="Q568" s="304">
        <f t="shared" ca="1" si="251"/>
        <v>0</v>
      </c>
      <c r="R568" s="306">
        <f t="shared" ca="1" si="252"/>
        <v>0</v>
      </c>
      <c r="S568" s="307">
        <f t="shared" ca="1" si="253"/>
        <v>2.6792999999999987</v>
      </c>
      <c r="T568" s="304">
        <f t="shared" ca="1" si="233"/>
        <v>26.283932999999987</v>
      </c>
      <c r="U568" s="311">
        <f t="shared" ca="1" si="234"/>
        <v>0</v>
      </c>
      <c r="V568" s="306">
        <f t="shared" ca="1" si="235"/>
        <v>1.2260961547945659</v>
      </c>
      <c r="W568" s="304">
        <f t="shared" ca="1" si="236"/>
        <v>25.392664923099371</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0.31880883925961179</v>
      </c>
      <c r="AH568" s="304">
        <f t="shared" ca="1" si="260"/>
        <v>-9.4773348721772166</v>
      </c>
    </row>
    <row r="569" spans="1:34" x14ac:dyDescent="0.2">
      <c r="A569" s="347">
        <f t="shared" ca="1" si="238"/>
        <v>1E-4</v>
      </c>
      <c r="B569" s="304">
        <f t="shared" ca="1" si="239"/>
        <v>36.605100000000377</v>
      </c>
      <c r="D569" s="306">
        <f t="shared" ca="1" si="240"/>
        <v>-0.5035391591243038</v>
      </c>
      <c r="E569" s="307">
        <f t="shared" ca="1" si="241"/>
        <v>-0.34603577278556585</v>
      </c>
      <c r="F569" s="304">
        <f t="shared" ca="1" si="242"/>
        <v>0.61097662870106151</v>
      </c>
      <c r="G569" s="306">
        <f t="shared" ca="1" si="243"/>
        <v>5.343153621337434</v>
      </c>
      <c r="H569" s="307">
        <f t="shared" ca="1" si="244"/>
        <v>-100.42497745896381</v>
      </c>
      <c r="I569" s="304">
        <f t="shared" ca="1" si="245"/>
        <v>100.56701938635052</v>
      </c>
      <c r="J569" s="306">
        <f t="shared" ca="1" si="246"/>
        <v>711.72888807733182</v>
      </c>
      <c r="K569" s="307">
        <f t="shared" ca="1" si="247"/>
        <v>-8.9542431747350495</v>
      </c>
      <c r="L569" s="304">
        <f t="shared" ca="1" si="232"/>
        <v>711.78521240232817</v>
      </c>
      <c r="M569" s="306">
        <f t="shared" ca="1" si="248"/>
        <v>-1.5176410214901559</v>
      </c>
      <c r="N569" s="304">
        <f t="shared" ca="1" si="249"/>
        <v>-86.954425347308998</v>
      </c>
      <c r="P569" s="310">
        <f t="shared" ca="1" si="250"/>
        <v>23</v>
      </c>
      <c r="Q569" s="304">
        <f t="shared" ca="1" si="251"/>
        <v>0</v>
      </c>
      <c r="R569" s="306">
        <f t="shared" ca="1" si="252"/>
        <v>0</v>
      </c>
      <c r="S569" s="307">
        <f t="shared" ca="1" si="253"/>
        <v>2.6792999999999987</v>
      </c>
      <c r="T569" s="304">
        <f t="shared" ca="1" si="233"/>
        <v>26.283932999999987</v>
      </c>
      <c r="U569" s="311">
        <f t="shared" ca="1" si="234"/>
        <v>0</v>
      </c>
      <c r="V569" s="306">
        <f t="shared" ca="1" si="235"/>
        <v>1.2260973861020059</v>
      </c>
      <c r="W569" s="304">
        <f t="shared" ca="1" si="236"/>
        <v>25.39270652247577</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0.31879358292358617</v>
      </c>
      <c r="AH569" s="304">
        <f t="shared" ca="1" si="260"/>
        <v>-9.4773503986486709</v>
      </c>
    </row>
    <row r="570" spans="1:34" x14ac:dyDescent="0.2">
      <c r="A570" s="347">
        <f t="shared" ca="1" si="238"/>
        <v>1E-4</v>
      </c>
      <c r="B570" s="304">
        <f t="shared" ca="1" si="239"/>
        <v>36.60520000000038</v>
      </c>
      <c r="D570" s="306">
        <f t="shared" ca="1" si="240"/>
        <v>-0.50353507910591944</v>
      </c>
      <c r="E570" s="307">
        <f t="shared" ca="1" si="241"/>
        <v>-0.34602000753405093</v>
      </c>
      <c r="F570" s="304">
        <f t="shared" ca="1" si="242"/>
        <v>0.61096433734226196</v>
      </c>
      <c r="G570" s="306">
        <f t="shared" ca="1" si="243"/>
        <v>5.3431032678295232</v>
      </c>
      <c r="H570" s="307">
        <f t="shared" ca="1" si="244"/>
        <v>-100.42501206096456</v>
      </c>
      <c r="I570" s="304">
        <f t="shared" ca="1" si="245"/>
        <v>100.56705126419671</v>
      </c>
      <c r="J570" s="306">
        <f t="shared" ca="1" si="246"/>
        <v>711.72888807733182</v>
      </c>
      <c r="K570" s="307">
        <f t="shared" ca="1" si="247"/>
        <v>-8.9642856742110464</v>
      </c>
      <c r="L570" s="304">
        <f t="shared" ca="1" si="232"/>
        <v>711.78533880759585</v>
      </c>
      <c r="M570" s="306">
        <f t="shared" ca="1" si="248"/>
        <v>-1.5176415397593239</v>
      </c>
      <c r="N570" s="304">
        <f t="shared" ca="1" si="249"/>
        <v>-86.954455041944982</v>
      </c>
      <c r="P570" s="310">
        <f t="shared" ca="1" si="250"/>
        <v>23</v>
      </c>
      <c r="Q570" s="304">
        <f t="shared" ca="1" si="251"/>
        <v>0</v>
      </c>
      <c r="R570" s="306">
        <f t="shared" ca="1" si="252"/>
        <v>0</v>
      </c>
      <c r="S570" s="307">
        <f t="shared" ca="1" si="253"/>
        <v>2.6792999999999987</v>
      </c>
      <c r="T570" s="304">
        <f t="shared" ca="1" si="233"/>
        <v>26.283932999999987</v>
      </c>
      <c r="U570" s="311">
        <f t="shared" ca="1" si="234"/>
        <v>0</v>
      </c>
      <c r="V570" s="306">
        <f t="shared" ca="1" si="235"/>
        <v>1.2260986174111068</v>
      </c>
      <c r="W570" s="304">
        <f t="shared" ca="1" si="236"/>
        <v>25.392748121153577</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0.3187783268429385</v>
      </c>
      <c r="AH570" s="304">
        <f t="shared" ca="1" si="260"/>
        <v>-9.4773659248593969</v>
      </c>
    </row>
    <row r="571" spans="1:34" x14ac:dyDescent="0.2">
      <c r="A571" s="347">
        <f t="shared" ca="1" si="238"/>
        <v>1E-4</v>
      </c>
      <c r="B571" s="304">
        <f t="shared" ca="1" si="239"/>
        <v>36.605300000000383</v>
      </c>
      <c r="D571" s="306">
        <f t="shared" ca="1" si="240"/>
        <v>-0.50353099910680699</v>
      </c>
      <c r="E571" s="307">
        <f t="shared" ca="1" si="241"/>
        <v>-0.34600424254721318</v>
      </c>
      <c r="F571" s="304">
        <f t="shared" ca="1" si="242"/>
        <v>0.61095204633601974</v>
      </c>
      <c r="G571" s="306">
        <f t="shared" ca="1" si="243"/>
        <v>5.3430529147296122</v>
      </c>
      <c r="H571" s="307">
        <f t="shared" ca="1" si="244"/>
        <v>-100.42504666138882</v>
      </c>
      <c r="I571" s="304">
        <f t="shared" ca="1" si="245"/>
        <v>100.56708314051731</v>
      </c>
      <c r="J571" s="306">
        <f t="shared" ca="1" si="246"/>
        <v>711.72888807733182</v>
      </c>
      <c r="K571" s="307">
        <f t="shared" ca="1" si="247"/>
        <v>-8.9743281771471644</v>
      </c>
      <c r="L571" s="304">
        <f t="shared" ca="1" si="232"/>
        <v>711.78546535457315</v>
      </c>
      <c r="M571" s="306">
        <f t="shared" ca="1" si="248"/>
        <v>-1.517642058023279</v>
      </c>
      <c r="N571" s="304">
        <f t="shared" ca="1" si="249"/>
        <v>-86.954484736282282</v>
      </c>
      <c r="P571" s="310">
        <f t="shared" ca="1" si="250"/>
        <v>23</v>
      </c>
      <c r="Q571" s="304">
        <f t="shared" ca="1" si="251"/>
        <v>0</v>
      </c>
      <c r="R571" s="306">
        <f t="shared" ca="1" si="252"/>
        <v>0</v>
      </c>
      <c r="S571" s="307">
        <f t="shared" ca="1" si="253"/>
        <v>2.6792999999999987</v>
      </c>
      <c r="T571" s="304">
        <f t="shared" ca="1" si="233"/>
        <v>26.283932999999987</v>
      </c>
      <c r="U571" s="311">
        <f t="shared" ca="1" si="234"/>
        <v>0</v>
      </c>
      <c r="V571" s="306">
        <f t="shared" ca="1" si="235"/>
        <v>1.2260998487218695</v>
      </c>
      <c r="W571" s="304">
        <f t="shared" ca="1" si="236"/>
        <v>25.392789719132832</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0.31876307101767942</v>
      </c>
      <c r="AH571" s="304">
        <f t="shared" ca="1" si="260"/>
        <v>-9.4773814508093874</v>
      </c>
    </row>
    <row r="572" spans="1:34" x14ac:dyDescent="0.2">
      <c r="A572" s="347">
        <f t="shared" ca="1" si="238"/>
        <v>1E-4</v>
      </c>
      <c r="B572" s="304">
        <f t="shared" ca="1" si="239"/>
        <v>36.605400000000387</v>
      </c>
      <c r="D572" s="306">
        <f t="shared" ca="1" si="240"/>
        <v>-0.50352691912697223</v>
      </c>
      <c r="E572" s="307">
        <f t="shared" ca="1" si="241"/>
        <v>-0.34598847782504372</v>
      </c>
      <c r="F572" s="304">
        <f t="shared" ca="1" si="242"/>
        <v>0.61093975568233505</v>
      </c>
      <c r="G572" s="306">
        <f t="shared" ca="1" si="243"/>
        <v>5.3430025620376993</v>
      </c>
      <c r="H572" s="307">
        <f t="shared" ca="1" si="244"/>
        <v>-100.4250812602366</v>
      </c>
      <c r="I572" s="304">
        <f t="shared" ca="1" si="245"/>
        <v>100.56711501531235</v>
      </c>
      <c r="J572" s="306">
        <f t="shared" ca="1" si="246"/>
        <v>711.72888807733182</v>
      </c>
      <c r="K572" s="307">
        <f t="shared" ca="1" si="247"/>
        <v>-8.9843706835432453</v>
      </c>
      <c r="L572" s="304">
        <f t="shared" ca="1" si="232"/>
        <v>711.78559204326018</v>
      </c>
      <c r="M572" s="306">
        <f t="shared" ca="1" si="248"/>
        <v>-1.5176425762820216</v>
      </c>
      <c r="N572" s="304">
        <f t="shared" ca="1" si="249"/>
        <v>-86.954514430320927</v>
      </c>
      <c r="P572" s="310">
        <f t="shared" ca="1" si="250"/>
        <v>23</v>
      </c>
      <c r="Q572" s="304">
        <f t="shared" ca="1" si="251"/>
        <v>0</v>
      </c>
      <c r="R572" s="306">
        <f t="shared" ca="1" si="252"/>
        <v>0</v>
      </c>
      <c r="S572" s="307">
        <f t="shared" ca="1" si="253"/>
        <v>2.6792999999999987</v>
      </c>
      <c r="T572" s="304">
        <f t="shared" ca="1" si="233"/>
        <v>26.283932999999987</v>
      </c>
      <c r="U572" s="311">
        <f t="shared" ca="1" si="234"/>
        <v>0</v>
      </c>
      <c r="V572" s="306">
        <f t="shared" ca="1" si="235"/>
        <v>1.2261010800342929</v>
      </c>
      <c r="W572" s="304">
        <f t="shared" ca="1" si="236"/>
        <v>25.392831316413513</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0.31874781544779474</v>
      </c>
      <c r="AH572" s="304">
        <f t="shared" ca="1" si="260"/>
        <v>-9.477396976498655</v>
      </c>
    </row>
    <row r="573" spans="1:34" x14ac:dyDescent="0.2">
      <c r="A573" s="347">
        <f t="shared" ca="1" si="238"/>
        <v>1E-4</v>
      </c>
      <c r="B573" s="304">
        <f t="shared" ca="1" si="239"/>
        <v>36.60550000000039</v>
      </c>
      <c r="D573" s="306">
        <f t="shared" ca="1" si="240"/>
        <v>-0.50352283916641105</v>
      </c>
      <c r="E573" s="307">
        <f t="shared" ca="1" si="241"/>
        <v>-0.34597271336754787</v>
      </c>
      <c r="F573" s="304">
        <f t="shared" ca="1" si="242"/>
        <v>0.61092746538120779</v>
      </c>
      <c r="G573" s="306">
        <f t="shared" ca="1" si="243"/>
        <v>5.3429522097537827</v>
      </c>
      <c r="H573" s="307">
        <f t="shared" ca="1" si="244"/>
        <v>-100.42511585750793</v>
      </c>
      <c r="I573" s="304">
        <f t="shared" ca="1" si="245"/>
        <v>100.56714688858187</v>
      </c>
      <c r="J573" s="306">
        <f t="shared" ca="1" si="246"/>
        <v>711.72888807733182</v>
      </c>
      <c r="K573" s="307">
        <f t="shared" ca="1" si="247"/>
        <v>-8.9944131933991329</v>
      </c>
      <c r="L573" s="304">
        <f t="shared" ca="1" si="232"/>
        <v>711.78571887365706</v>
      </c>
      <c r="M573" s="306">
        <f t="shared" ca="1" si="248"/>
        <v>-1.5176430945355515</v>
      </c>
      <c r="N573" s="304">
        <f t="shared" ca="1" si="249"/>
        <v>-86.954544124060902</v>
      </c>
      <c r="P573" s="310">
        <f t="shared" ca="1" si="250"/>
        <v>23</v>
      </c>
      <c r="Q573" s="304">
        <f t="shared" ca="1" si="251"/>
        <v>0</v>
      </c>
      <c r="R573" s="306">
        <f t="shared" ca="1" si="252"/>
        <v>0</v>
      </c>
      <c r="S573" s="307">
        <f t="shared" ca="1" si="253"/>
        <v>2.6792999999999987</v>
      </c>
      <c r="T573" s="304">
        <f t="shared" ca="1" si="233"/>
        <v>26.283932999999987</v>
      </c>
      <c r="U573" s="311">
        <f t="shared" ca="1" si="234"/>
        <v>0</v>
      </c>
      <c r="V573" s="306">
        <f t="shared" ca="1" si="235"/>
        <v>1.2261023113483782</v>
      </c>
      <c r="W573" s="304">
        <f t="shared" ca="1" si="236"/>
        <v>25.392872912995667</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0.31873256013329154</v>
      </c>
      <c r="AH573" s="304">
        <f t="shared" ca="1" si="260"/>
        <v>-9.4774125019271924</v>
      </c>
    </row>
    <row r="574" spans="1:34" x14ac:dyDescent="0.2">
      <c r="A574" s="347">
        <f t="shared" ca="1" si="238"/>
        <v>1E-4</v>
      </c>
      <c r="B574" s="304">
        <f t="shared" ca="1" si="239"/>
        <v>36.605600000000393</v>
      </c>
      <c r="D574" s="306">
        <f t="shared" ca="1" si="240"/>
        <v>-0.50351875922512723</v>
      </c>
      <c r="E574" s="307">
        <f t="shared" ca="1" si="241"/>
        <v>-0.3459569491747061</v>
      </c>
      <c r="F574" s="304">
        <f t="shared" ca="1" si="242"/>
        <v>0.61091517543263063</v>
      </c>
      <c r="G574" s="306">
        <f t="shared" ca="1" si="243"/>
        <v>5.3429018578778598</v>
      </c>
      <c r="H574" s="307">
        <f t="shared" ca="1" si="244"/>
        <v>-100.42515045320285</v>
      </c>
      <c r="I574" s="304">
        <f t="shared" ca="1" si="245"/>
        <v>100.56717876032589</v>
      </c>
      <c r="J574" s="306">
        <f t="shared" ca="1" si="246"/>
        <v>711.72888807733182</v>
      </c>
      <c r="K574" s="307">
        <f t="shared" ca="1" si="247"/>
        <v>-9.0044557067146691</v>
      </c>
      <c r="L574" s="304">
        <f t="shared" ca="1" si="232"/>
        <v>711.78584584576367</v>
      </c>
      <c r="M574" s="306">
        <f t="shared" ca="1" si="248"/>
        <v>-1.5176436127838691</v>
      </c>
      <c r="N574" s="304">
        <f t="shared" ca="1" si="249"/>
        <v>-86.954573817502251</v>
      </c>
      <c r="P574" s="310">
        <f t="shared" ca="1" si="250"/>
        <v>23</v>
      </c>
      <c r="Q574" s="304">
        <f t="shared" ca="1" si="251"/>
        <v>0</v>
      </c>
      <c r="R574" s="306">
        <f t="shared" ca="1" si="252"/>
        <v>0</v>
      </c>
      <c r="S574" s="307">
        <f t="shared" ca="1" si="253"/>
        <v>2.6792999999999987</v>
      </c>
      <c r="T574" s="304">
        <f t="shared" ca="1" si="233"/>
        <v>26.283932999999987</v>
      </c>
      <c r="U574" s="311">
        <f t="shared" ca="1" si="234"/>
        <v>0</v>
      </c>
      <c r="V574" s="306">
        <f t="shared" ca="1" si="235"/>
        <v>1.2261035426641249</v>
      </c>
      <c r="W574" s="304">
        <f t="shared" ca="1" si="236"/>
        <v>25.39291450887929</v>
      </c>
      <c r="Y574" s="314" t="str">
        <f t="shared" ca="1" si="254"/>
        <v/>
      </c>
      <c r="Z574" s="315" t="str">
        <f t="shared" ca="1" si="255"/>
        <v/>
      </c>
      <c r="AA574" s="316" t="str">
        <f t="shared" ca="1" si="256"/>
        <v/>
      </c>
      <c r="AC574" s="310" t="e">
        <f t="shared" ca="1" si="257"/>
        <v>#N/A</v>
      </c>
      <c r="AD574" s="323" t="e">
        <f t="shared" ca="1" si="258"/>
        <v>#N/A</v>
      </c>
      <c r="AE574" s="324" t="e">
        <f t="shared" ca="1" si="237"/>
        <v>#N/A</v>
      </c>
      <c r="AG574" s="306">
        <f t="shared" ca="1" si="259"/>
        <v>0.31871730507415208</v>
      </c>
      <c r="AH574" s="304">
        <f t="shared" ca="1" si="260"/>
        <v>-9.4774280270950175</v>
      </c>
    </row>
    <row r="575" spans="1:34" x14ac:dyDescent="0.2">
      <c r="A575" s="347">
        <f t="shared" ca="1" si="238"/>
        <v>1E-4</v>
      </c>
      <c r="B575" s="304">
        <f t="shared" ca="1" si="239"/>
        <v>36.605700000000397</v>
      </c>
      <c r="D575" s="306">
        <f t="shared" ca="1" si="240"/>
        <v>-0.50351467930311711</v>
      </c>
      <c r="E575" s="307">
        <f t="shared" ca="1" si="241"/>
        <v>-0.34594118524652195</v>
      </c>
      <c r="F575" s="304">
        <f t="shared" ca="1" si="242"/>
        <v>0.61090288583660279</v>
      </c>
      <c r="G575" s="306">
        <f t="shared" ca="1" si="243"/>
        <v>5.3428515064099296</v>
      </c>
      <c r="H575" s="307">
        <f t="shared" ca="1" si="244"/>
        <v>-100.42518504732138</v>
      </c>
      <c r="I575" s="304">
        <f t="shared" ca="1" si="245"/>
        <v>100.56721063054442</v>
      </c>
      <c r="J575" s="306">
        <f t="shared" ca="1" si="246"/>
        <v>711.72888807733182</v>
      </c>
      <c r="K575" s="307">
        <f t="shared" ca="1" si="247"/>
        <v>-9.0144982234896958</v>
      </c>
      <c r="L575" s="304">
        <f t="shared" ca="1" si="232"/>
        <v>711.78597295958036</v>
      </c>
      <c r="M575" s="306">
        <f t="shared" ca="1" si="248"/>
        <v>-1.5176441310269742</v>
      </c>
      <c r="N575" s="304">
        <f t="shared" ca="1" si="249"/>
        <v>-86.95460351064493</v>
      </c>
      <c r="P575" s="310">
        <f t="shared" ca="1" si="250"/>
        <v>23</v>
      </c>
      <c r="Q575" s="304">
        <f t="shared" ca="1" si="251"/>
        <v>0</v>
      </c>
      <c r="R575" s="306">
        <f t="shared" ca="1" si="252"/>
        <v>0</v>
      </c>
      <c r="S575" s="307">
        <f t="shared" ca="1" si="253"/>
        <v>2.6792999999999987</v>
      </c>
      <c r="T575" s="304">
        <f t="shared" ca="1" si="233"/>
        <v>26.283932999999987</v>
      </c>
      <c r="U575" s="311">
        <f t="shared" ca="1" si="234"/>
        <v>0</v>
      </c>
      <c r="V575" s="306">
        <f t="shared" ca="1" si="235"/>
        <v>1.2261047739815323</v>
      </c>
      <c r="W575" s="304">
        <f t="shared" ca="1" si="236"/>
        <v>25.392956104064371</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0.31870205027038168</v>
      </c>
      <c r="AH575" s="304">
        <f t="shared" ca="1" si="260"/>
        <v>-9.4774435520021285</v>
      </c>
    </row>
    <row r="576" spans="1:34" x14ac:dyDescent="0.2">
      <c r="A576" s="347">
        <f t="shared" ca="1" si="238"/>
        <v>1E-4</v>
      </c>
      <c r="B576" s="304">
        <f t="shared" ca="1" si="239"/>
        <v>36.6058000000004</v>
      </c>
      <c r="D576" s="306">
        <f t="shared" ca="1" si="240"/>
        <v>-0.50351059940038312</v>
      </c>
      <c r="E576" s="307">
        <f t="shared" ca="1" si="241"/>
        <v>-0.34592542158300077</v>
      </c>
      <c r="F576" s="304">
        <f t="shared" ca="1" si="242"/>
        <v>0.61089059659312972</v>
      </c>
      <c r="G576" s="306">
        <f t="shared" ca="1" si="243"/>
        <v>5.3428011553499895</v>
      </c>
      <c r="H576" s="307">
        <f t="shared" ca="1" si="244"/>
        <v>-100.42521963986354</v>
      </c>
      <c r="I576" s="304">
        <f t="shared" ca="1" si="245"/>
        <v>100.56724249923751</v>
      </c>
      <c r="J576" s="306">
        <f t="shared" ca="1" si="246"/>
        <v>711.72888807733182</v>
      </c>
      <c r="K576" s="307">
        <f t="shared" ca="1" si="247"/>
        <v>-9.0245407437240548</v>
      </c>
      <c r="L576" s="304">
        <f t="shared" ca="1" si="232"/>
        <v>711.7861002151069</v>
      </c>
      <c r="M576" s="306">
        <f t="shared" ca="1" si="248"/>
        <v>-1.5176446492648668</v>
      </c>
      <c r="N576" s="304">
        <f t="shared" ca="1" si="249"/>
        <v>-86.954633203488953</v>
      </c>
      <c r="P576" s="310">
        <f t="shared" ca="1" si="250"/>
        <v>23</v>
      </c>
      <c r="Q576" s="304">
        <f t="shared" ca="1" si="251"/>
        <v>0</v>
      </c>
      <c r="R576" s="306">
        <f t="shared" ca="1" si="252"/>
        <v>0</v>
      </c>
      <c r="S576" s="307">
        <f t="shared" ca="1" si="253"/>
        <v>2.6792999999999987</v>
      </c>
      <c r="T576" s="304">
        <f t="shared" ca="1" si="233"/>
        <v>26.283932999999987</v>
      </c>
      <c r="U576" s="311">
        <f t="shared" ca="1" si="234"/>
        <v>0</v>
      </c>
      <c r="V576" s="306">
        <f t="shared" ca="1" si="235"/>
        <v>1.2261060053006014</v>
      </c>
      <c r="W576" s="304">
        <f t="shared" ca="1" si="236"/>
        <v>25.39299769855095</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0.31868679572198211</v>
      </c>
      <c r="AH576" s="304">
        <f t="shared" ca="1" si="260"/>
        <v>-9.4774590766485218</v>
      </c>
    </row>
    <row r="577" spans="1:34" x14ac:dyDescent="0.2">
      <c r="A577" s="347">
        <f t="shared" ca="1" si="238"/>
        <v>1E-4</v>
      </c>
      <c r="B577" s="304">
        <f t="shared" ca="1" si="239"/>
        <v>36.605900000000403</v>
      </c>
      <c r="D577" s="306">
        <f t="shared" ca="1" si="240"/>
        <v>-0.50350651951692682</v>
      </c>
      <c r="E577" s="307">
        <f t="shared" ca="1" si="241"/>
        <v>-0.34590965818412478</v>
      </c>
      <c r="F577" s="304">
        <f t="shared" ca="1" si="242"/>
        <v>0.61087830770220308</v>
      </c>
      <c r="G577" s="306">
        <f t="shared" ca="1" si="243"/>
        <v>5.3427508046980376</v>
      </c>
      <c r="H577" s="307">
        <f t="shared" ca="1" si="244"/>
        <v>-100.42525423082937</v>
      </c>
      <c r="I577" s="304">
        <f t="shared" ca="1" si="245"/>
        <v>100.56727436640516</v>
      </c>
      <c r="J577" s="306">
        <f t="shared" ca="1" si="246"/>
        <v>711.72888807733182</v>
      </c>
      <c r="K577" s="307">
        <f t="shared" ca="1" si="247"/>
        <v>-9.0345832674175899</v>
      </c>
      <c r="L577" s="304">
        <f t="shared" ca="1" si="232"/>
        <v>711.78622761234362</v>
      </c>
      <c r="M577" s="306">
        <f t="shared" ca="1" si="248"/>
        <v>-1.5176451674975473</v>
      </c>
      <c r="N577" s="304">
        <f t="shared" ca="1" si="249"/>
        <v>-86.954662896034364</v>
      </c>
      <c r="P577" s="310">
        <f t="shared" ca="1" si="250"/>
        <v>23</v>
      </c>
      <c r="Q577" s="304">
        <f t="shared" ca="1" si="251"/>
        <v>0</v>
      </c>
      <c r="R577" s="306">
        <f t="shared" ca="1" si="252"/>
        <v>0</v>
      </c>
      <c r="S577" s="307">
        <f t="shared" ca="1" si="253"/>
        <v>2.6792999999999987</v>
      </c>
      <c r="T577" s="304">
        <f t="shared" ca="1" si="233"/>
        <v>26.283932999999987</v>
      </c>
      <c r="U577" s="311">
        <f t="shared" ca="1" si="234"/>
        <v>0</v>
      </c>
      <c r="V577" s="306">
        <f t="shared" ca="1" si="235"/>
        <v>1.2261072366213315</v>
      </c>
      <c r="W577" s="304">
        <f t="shared" ca="1" si="236"/>
        <v>25.393039292339004</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0.31867154142893561</v>
      </c>
      <c r="AH577" s="304">
        <f t="shared" ca="1" si="260"/>
        <v>-9.4774746010342117</v>
      </c>
    </row>
    <row r="578" spans="1:34" x14ac:dyDescent="0.2">
      <c r="A578" s="347">
        <f t="shared" ca="1" si="238"/>
        <v>1E-4</v>
      </c>
      <c r="B578" s="304">
        <f t="shared" ca="1" si="239"/>
        <v>36.606000000000407</v>
      </c>
      <c r="D578" s="306">
        <f t="shared" ca="1" si="240"/>
        <v>-0.50350243965274422</v>
      </c>
      <c r="E578" s="307">
        <f t="shared" ca="1" si="241"/>
        <v>-0.34589389504990464</v>
      </c>
      <c r="F578" s="304">
        <f t="shared" ca="1" si="242"/>
        <v>0.61086601916382599</v>
      </c>
      <c r="G578" s="306">
        <f t="shared" ca="1" si="243"/>
        <v>5.3427004544540724</v>
      </c>
      <c r="H578" s="307">
        <f t="shared" ca="1" si="244"/>
        <v>-100.42528882021887</v>
      </c>
      <c r="I578" s="304">
        <f t="shared" ca="1" si="245"/>
        <v>100.5673062320474</v>
      </c>
      <c r="J578" s="306">
        <f t="shared" ca="1" si="246"/>
        <v>711.72888807733182</v>
      </c>
      <c r="K578" s="307">
        <f t="shared" ca="1" si="247"/>
        <v>-9.0446257945701429</v>
      </c>
      <c r="L578" s="304">
        <f t="shared" ca="1" si="232"/>
        <v>711.78635515129042</v>
      </c>
      <c r="M578" s="306">
        <f t="shared" ca="1" si="248"/>
        <v>-1.5176456857250153</v>
      </c>
      <c r="N578" s="304">
        <f t="shared" ca="1" si="249"/>
        <v>-86.954692588281105</v>
      </c>
      <c r="P578" s="310">
        <f t="shared" ca="1" si="250"/>
        <v>23</v>
      </c>
      <c r="Q578" s="304">
        <f t="shared" ca="1" si="251"/>
        <v>0</v>
      </c>
      <c r="R578" s="306">
        <f t="shared" ca="1" si="252"/>
        <v>0</v>
      </c>
      <c r="S578" s="307">
        <f t="shared" ca="1" si="253"/>
        <v>2.6792999999999987</v>
      </c>
      <c r="T578" s="304">
        <f t="shared" ca="1" si="233"/>
        <v>26.283932999999987</v>
      </c>
      <c r="U578" s="311">
        <f t="shared" ca="1" si="234"/>
        <v>0</v>
      </c>
      <c r="V578" s="306">
        <f t="shared" ca="1" si="235"/>
        <v>1.2261084679437226</v>
      </c>
      <c r="W578" s="304">
        <f t="shared" ca="1" si="236"/>
        <v>25.393080885428567</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0.31865628739125285</v>
      </c>
      <c r="AH578" s="304">
        <f t="shared" ca="1" si="260"/>
        <v>-9.4774901251591892</v>
      </c>
    </row>
    <row r="579" spans="1:34" x14ac:dyDescent="0.2">
      <c r="A579" s="347">
        <f t="shared" ca="1" si="238"/>
        <v>1E-4</v>
      </c>
      <c r="B579" s="304">
        <f t="shared" ca="1" si="239"/>
        <v>36.60610000000041</v>
      </c>
      <c r="D579" s="306">
        <f t="shared" ca="1" si="240"/>
        <v>-0.50349835980784086</v>
      </c>
      <c r="E579" s="307">
        <f t="shared" ca="1" si="241"/>
        <v>-0.34587813218032615</v>
      </c>
      <c r="F579" s="304">
        <f t="shared" ca="1" si="242"/>
        <v>0.61085373097799534</v>
      </c>
      <c r="G579" s="306">
        <f t="shared" ca="1" si="243"/>
        <v>5.3426501046180919</v>
      </c>
      <c r="H579" s="307">
        <f t="shared" ca="1" si="244"/>
        <v>-100.42532340803209</v>
      </c>
      <c r="I579" s="304">
        <f t="shared" ca="1" si="245"/>
        <v>100.56733809616426</v>
      </c>
      <c r="J579" s="306">
        <f t="shared" ca="1" si="246"/>
        <v>711.72888807733182</v>
      </c>
      <c r="K579" s="307">
        <f t="shared" ca="1" si="247"/>
        <v>-9.0546683251815558</v>
      </c>
      <c r="L579" s="304">
        <f t="shared" ca="1" si="232"/>
        <v>711.78648283194741</v>
      </c>
      <c r="M579" s="306">
        <f t="shared" ca="1" si="248"/>
        <v>-1.5176462039472713</v>
      </c>
      <c r="N579" s="304">
        <f t="shared" ca="1" si="249"/>
        <v>-86.95472228022922</v>
      </c>
      <c r="P579" s="310">
        <f t="shared" ca="1" si="250"/>
        <v>23</v>
      </c>
      <c r="Q579" s="304">
        <f t="shared" ca="1" si="251"/>
        <v>0</v>
      </c>
      <c r="R579" s="306">
        <f t="shared" ca="1" si="252"/>
        <v>0</v>
      </c>
      <c r="S579" s="307">
        <f t="shared" ca="1" si="253"/>
        <v>2.6792999999999987</v>
      </c>
      <c r="T579" s="304">
        <f t="shared" ca="1" si="233"/>
        <v>26.283932999999987</v>
      </c>
      <c r="U579" s="311">
        <f t="shared" ca="1" si="234"/>
        <v>0</v>
      </c>
      <c r="V579" s="306">
        <f t="shared" ca="1" si="235"/>
        <v>1.2261096992677754</v>
      </c>
      <c r="W579" s="304">
        <f t="shared" ca="1" si="236"/>
        <v>25.393122477819649</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0.31864103360892493</v>
      </c>
      <c r="AH579" s="304">
        <f t="shared" ca="1" si="260"/>
        <v>-9.4775056490234686</v>
      </c>
    </row>
    <row r="580" spans="1:34" x14ac:dyDescent="0.2">
      <c r="A580" s="347">
        <f t="shared" ca="1" si="238"/>
        <v>1E-4</v>
      </c>
      <c r="B580" s="304">
        <f t="shared" ca="1" si="239"/>
        <v>36.606200000000413</v>
      </c>
      <c r="D580" s="306">
        <f t="shared" ca="1" si="240"/>
        <v>-0.50349427998221319</v>
      </c>
      <c r="E580" s="307">
        <f t="shared" ca="1" si="241"/>
        <v>-0.34586236957538574</v>
      </c>
      <c r="F580" s="304">
        <f t="shared" ca="1" si="242"/>
        <v>0.61084144314470679</v>
      </c>
      <c r="G580" s="306">
        <f t="shared" ca="1" si="243"/>
        <v>5.3425997551900934</v>
      </c>
      <c r="H580" s="307">
        <f t="shared" ca="1" si="244"/>
        <v>-100.42535799426905</v>
      </c>
      <c r="I580" s="304">
        <f t="shared" ca="1" si="245"/>
        <v>100.56736995875579</v>
      </c>
      <c r="J580" s="306">
        <f t="shared" ca="1" si="246"/>
        <v>711.72888807733182</v>
      </c>
      <c r="K580" s="307">
        <f t="shared" ca="1" si="247"/>
        <v>-9.0647108592516705</v>
      </c>
      <c r="L580" s="304">
        <f t="shared" ref="L580:L643" ca="1" si="261">SQRT(pos_x^2+pos_z^2)</f>
        <v>711.7866106543147</v>
      </c>
      <c r="M580" s="306">
        <f t="shared" ca="1" si="248"/>
        <v>-1.5176467221643151</v>
      </c>
      <c r="N580" s="304">
        <f t="shared" ca="1" si="249"/>
        <v>-86.954751971878707</v>
      </c>
      <c r="P580" s="310">
        <f t="shared" ca="1" si="250"/>
        <v>23</v>
      </c>
      <c r="Q580" s="304">
        <f t="shared" ca="1" si="251"/>
        <v>0</v>
      </c>
      <c r="R580" s="306">
        <f t="shared" ca="1" si="252"/>
        <v>0</v>
      </c>
      <c r="S580" s="307">
        <f t="shared" ca="1" si="253"/>
        <v>2.6792999999999987</v>
      </c>
      <c r="T580" s="304">
        <f t="shared" ref="T580:T643" ca="1" si="262">m*g</f>
        <v>26.283932999999987</v>
      </c>
      <c r="U580" s="311">
        <f t="shared" ref="U580:U643" ca="1" si="263">IF(pos_xz&lt;L_rampe,Poids*COS(Beta),0)</f>
        <v>0</v>
      </c>
      <c r="V580" s="306">
        <f t="shared" ref="V580:V643" ca="1" si="264">Rho_moyen*(20000-Alt_rampe-pos_z)/(20000+Alt_rampe+pos_z)</f>
        <v>1.2261109305934892</v>
      </c>
      <c r="W580" s="304">
        <f t="shared" ref="W580:W643" ca="1" si="265">1/2*Rho*Sref*Cx*vit_xz^2</f>
        <v>25.393164069512252</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0.31862578008194298</v>
      </c>
      <c r="AH580" s="304">
        <f t="shared" ca="1" si="260"/>
        <v>-9.4775211726270516</v>
      </c>
    </row>
    <row r="581" spans="1:34" x14ac:dyDescent="0.2">
      <c r="A581" s="347">
        <f t="shared" ref="A581:A644" ca="1" si="267">IF(B580+0.01&lt;=T_ini+ROUNDUP(Temps_fin_propu,0), 0.01, IF(K580&gt;0, 0.1, 0.0001))</f>
        <v>1E-4</v>
      </c>
      <c r="B581" s="304">
        <f t="shared" ref="B581:B644" ca="1" si="268">B580+pas</f>
        <v>36.606300000000417</v>
      </c>
      <c r="D581" s="306">
        <f t="shared" ref="D581:D644" ca="1" si="269">IF(AND(L580&lt;L_rampe,Poussee&lt;Poids*SIN(M580)),0,(-W580+Poussee)/m*COS(M580)-U580/m*SIN(M580))</f>
        <v>-0.50349020017586432</v>
      </c>
      <c r="E581" s="307">
        <f t="shared" ref="E581:E644" ca="1" si="270">IF(AND(L580&lt;L_rampe,Poussee&lt;Poids*SIN(M580)),0,(-W580+Poussee)/m*SIN(M580)+U580/m*COS(M580)-Poids/m)</f>
        <v>-0.34584660723508343</v>
      </c>
      <c r="F581" s="304">
        <f t="shared" ref="F581:F644" ca="1" si="271">SQRT(acc_x^2+acc_z^2)</f>
        <v>0.61082915566396301</v>
      </c>
      <c r="G581" s="306">
        <f t="shared" ref="G581:G644" ca="1" si="272">G580+acc_x*pas</f>
        <v>5.3425494061700762</v>
      </c>
      <c r="H581" s="307">
        <f t="shared" ref="H581:H644" ca="1" si="273">H580+acc_z*pas</f>
        <v>-100.42539257892977</v>
      </c>
      <c r="I581" s="304">
        <f t="shared" ref="I581:I644" ca="1" si="274">SQRT(vit_x^2+vit_z^2)</f>
        <v>100.56740181982197</v>
      </c>
      <c r="J581" s="306">
        <f t="shared" ref="J581:J644" ca="1" si="275">J580+0.5*(vit_x+G580)*pas*(K580&gt;=0)</f>
        <v>711.72888807733182</v>
      </c>
      <c r="K581" s="307">
        <f t="shared" ref="K581:K644" ca="1" si="276">K580+0.5*(vit_z+H580)*pas</f>
        <v>-9.0747533967803307</v>
      </c>
      <c r="L581" s="304">
        <f t="shared" ca="1" si="261"/>
        <v>711.78673861839229</v>
      </c>
      <c r="M581" s="306">
        <f t="shared" ref="M581:M644" ca="1" si="277">IF(AND(L580&gt;L_rampe,G581&gt;0),ATAN2(G581,H581),$M$4)</f>
        <v>-1.5176472403761467</v>
      </c>
      <c r="N581" s="304">
        <f t="shared" ref="N581:N644" ca="1" si="278">DEGREES(Beta)</f>
        <v>-86.954781663229554</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2.6792999999999987</v>
      </c>
      <c r="T581" s="304">
        <f t="shared" ca="1" si="262"/>
        <v>26.283932999999987</v>
      </c>
      <c r="U581" s="311">
        <f t="shared" ca="1" si="263"/>
        <v>0</v>
      </c>
      <c r="V581" s="306">
        <f t="shared" ca="1" si="264"/>
        <v>1.2261121619208641</v>
      </c>
      <c r="W581" s="304">
        <f t="shared" ca="1" si="265"/>
        <v>25.393205660506382</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0.31861052681030699</v>
      </c>
      <c r="AH581" s="304">
        <f t="shared" ref="AH581:AH644" ca="1" si="289">IF(AND(L580&lt;L_rampe,Poussee&lt;Poids*SIN(M580)), g*SIN(M580), (-W580+Poussee)/m)</f>
        <v>-9.4775366959699419</v>
      </c>
    </row>
    <row r="582" spans="1:34" x14ac:dyDescent="0.2">
      <c r="A582" s="347">
        <f t="shared" ca="1" si="267"/>
        <v>1E-4</v>
      </c>
      <c r="B582" s="304">
        <f t="shared" ca="1" si="268"/>
        <v>36.60640000000042</v>
      </c>
      <c r="D582" s="306">
        <f t="shared" ca="1" si="269"/>
        <v>-0.5034861203887927</v>
      </c>
      <c r="E582" s="307">
        <f t="shared" ca="1" si="270"/>
        <v>-0.34583084515941387</v>
      </c>
      <c r="F582" s="304">
        <f t="shared" ca="1" si="271"/>
        <v>0.61081686853576034</v>
      </c>
      <c r="G582" s="306">
        <f t="shared" ca="1" si="272"/>
        <v>5.3424990575580376</v>
      </c>
      <c r="H582" s="307">
        <f t="shared" ca="1" si="273"/>
        <v>-100.42542716201429</v>
      </c>
      <c r="I582" s="304">
        <f t="shared" ca="1" si="274"/>
        <v>100.56743367936285</v>
      </c>
      <c r="J582" s="306">
        <f t="shared" ca="1" si="275"/>
        <v>711.72888807733182</v>
      </c>
      <c r="K582" s="307">
        <f t="shared" ca="1" si="276"/>
        <v>-9.0847959377673781</v>
      </c>
      <c r="L582" s="304">
        <f t="shared" ca="1" si="261"/>
        <v>711.7868667241803</v>
      </c>
      <c r="M582" s="306">
        <f t="shared" ca="1" si="277"/>
        <v>-1.5176477585827666</v>
      </c>
      <c r="N582" s="304">
        <f t="shared" ca="1" si="278"/>
        <v>-86.954811354281787</v>
      </c>
      <c r="P582" s="310">
        <f t="shared" ca="1" si="279"/>
        <v>23</v>
      </c>
      <c r="Q582" s="304">
        <f t="shared" ca="1" si="280"/>
        <v>0</v>
      </c>
      <c r="R582" s="306">
        <f t="shared" ca="1" si="281"/>
        <v>0</v>
      </c>
      <c r="S582" s="307">
        <f t="shared" ca="1" si="282"/>
        <v>2.6792999999999987</v>
      </c>
      <c r="T582" s="304">
        <f t="shared" ca="1" si="262"/>
        <v>26.283932999999987</v>
      </c>
      <c r="U582" s="311">
        <f t="shared" ca="1" si="263"/>
        <v>0</v>
      </c>
      <c r="V582" s="306">
        <f t="shared" ca="1" si="264"/>
        <v>1.2261133932499004</v>
      </c>
      <c r="W582" s="304">
        <f t="shared" ca="1" si="265"/>
        <v>25.393247250802052</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0.31859527379401698</v>
      </c>
      <c r="AH582" s="304">
        <f t="shared" ca="1" si="289"/>
        <v>-9.4775522190521393</v>
      </c>
    </row>
    <row r="583" spans="1:34" x14ac:dyDescent="0.2">
      <c r="A583" s="347">
        <f t="shared" ca="1" si="267"/>
        <v>1E-4</v>
      </c>
      <c r="B583" s="304">
        <f t="shared" ca="1" si="268"/>
        <v>36.606500000000423</v>
      </c>
      <c r="D583" s="306">
        <f t="shared" ca="1" si="269"/>
        <v>-0.50348204062099711</v>
      </c>
      <c r="E583" s="307">
        <f t="shared" ca="1" si="270"/>
        <v>-0.34581508334837885</v>
      </c>
      <c r="F583" s="304">
        <f t="shared" ca="1" si="271"/>
        <v>0.61080458176009911</v>
      </c>
      <c r="G583" s="306">
        <f t="shared" ca="1" si="272"/>
        <v>5.3424487093539756</v>
      </c>
      <c r="H583" s="307">
        <f t="shared" ca="1" si="273"/>
        <v>-100.42546174352262</v>
      </c>
      <c r="I583" s="304">
        <f t="shared" ca="1" si="274"/>
        <v>100.56746553737844</v>
      </c>
      <c r="J583" s="306">
        <f t="shared" ca="1" si="275"/>
        <v>711.72888807733182</v>
      </c>
      <c r="K583" s="307">
        <f t="shared" ca="1" si="276"/>
        <v>-9.0948384822126549</v>
      </c>
      <c r="L583" s="304">
        <f t="shared" ca="1" si="261"/>
        <v>711.78699497167884</v>
      </c>
      <c r="M583" s="306">
        <f t="shared" ca="1" si="277"/>
        <v>-1.5176482767841744</v>
      </c>
      <c r="N583" s="304">
        <f t="shared" ca="1" si="278"/>
        <v>-86.954841045035394</v>
      </c>
      <c r="P583" s="310">
        <f t="shared" ca="1" si="279"/>
        <v>23</v>
      </c>
      <c r="Q583" s="304">
        <f t="shared" ca="1" si="280"/>
        <v>0</v>
      </c>
      <c r="R583" s="306">
        <f t="shared" ca="1" si="281"/>
        <v>0</v>
      </c>
      <c r="S583" s="307">
        <f t="shared" ca="1" si="282"/>
        <v>2.6792999999999987</v>
      </c>
      <c r="T583" s="304">
        <f t="shared" ca="1" si="262"/>
        <v>26.283932999999987</v>
      </c>
      <c r="U583" s="311">
        <f t="shared" ca="1" si="263"/>
        <v>0</v>
      </c>
      <c r="V583" s="306">
        <f t="shared" ca="1" si="264"/>
        <v>1.2261146245805974</v>
      </c>
      <c r="W583" s="304">
        <f t="shared" ca="1" si="265"/>
        <v>25.393288840399261</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0.31858002103307115</v>
      </c>
      <c r="AH583" s="304">
        <f t="shared" ca="1" si="289"/>
        <v>-9.4775677418736475</v>
      </c>
    </row>
    <row r="584" spans="1:34" x14ac:dyDescent="0.2">
      <c r="A584" s="347">
        <f t="shared" ca="1" si="267"/>
        <v>1E-4</v>
      </c>
      <c r="B584" s="304">
        <f t="shared" ca="1" si="268"/>
        <v>36.606600000000427</v>
      </c>
      <c r="D584" s="306">
        <f t="shared" ca="1" si="269"/>
        <v>-0.50347796087248053</v>
      </c>
      <c r="E584" s="307">
        <f t="shared" ca="1" si="270"/>
        <v>-0.34579932180197126</v>
      </c>
      <c r="F584" s="304">
        <f t="shared" ca="1" si="271"/>
        <v>0.6107922953369781</v>
      </c>
      <c r="G584" s="306">
        <f t="shared" ca="1" si="272"/>
        <v>5.3423983615578887</v>
      </c>
      <c r="H584" s="307">
        <f t="shared" ca="1" si="273"/>
        <v>-100.42549632345479</v>
      </c>
      <c r="I584" s="304">
        <f t="shared" ca="1" si="274"/>
        <v>100.56749739386881</v>
      </c>
      <c r="J584" s="306">
        <f t="shared" ca="1" si="275"/>
        <v>711.72888807733182</v>
      </c>
      <c r="K584" s="307">
        <f t="shared" ca="1" si="276"/>
        <v>-9.1048810301160046</v>
      </c>
      <c r="L584" s="304">
        <f t="shared" ca="1" si="261"/>
        <v>711.78712336088779</v>
      </c>
      <c r="M584" s="306">
        <f t="shared" ca="1" si="277"/>
        <v>-1.5176487949803703</v>
      </c>
      <c r="N584" s="304">
        <f t="shared" ca="1" si="278"/>
        <v>-86.954870735490374</v>
      </c>
      <c r="P584" s="310">
        <f t="shared" ca="1" si="279"/>
        <v>23</v>
      </c>
      <c r="Q584" s="304">
        <f t="shared" ca="1" si="280"/>
        <v>0</v>
      </c>
      <c r="R584" s="306">
        <f t="shared" ca="1" si="281"/>
        <v>0</v>
      </c>
      <c r="S584" s="307">
        <f t="shared" ca="1" si="282"/>
        <v>2.6792999999999987</v>
      </c>
      <c r="T584" s="304">
        <f t="shared" ca="1" si="262"/>
        <v>26.283932999999987</v>
      </c>
      <c r="U584" s="311">
        <f t="shared" ca="1" si="263"/>
        <v>0</v>
      </c>
      <c r="V584" s="306">
        <f t="shared" ca="1" si="264"/>
        <v>1.2261158559129557</v>
      </c>
      <c r="W584" s="304">
        <f t="shared" ca="1" si="265"/>
        <v>25.39333042929804</v>
      </c>
      <c r="Y584" s="314" t="str">
        <f t="shared" ca="1" si="283"/>
        <v/>
      </c>
      <c r="Z584" s="315" t="str">
        <f t="shared" ca="1" si="284"/>
        <v/>
      </c>
      <c r="AA584" s="316" t="str">
        <f t="shared" ca="1" si="285"/>
        <v/>
      </c>
      <c r="AC584" s="310" t="e">
        <f t="shared" ca="1" si="286"/>
        <v>#N/A</v>
      </c>
      <c r="AD584" s="323" t="e">
        <f t="shared" ca="1" si="287"/>
        <v>#N/A</v>
      </c>
      <c r="AE584" s="324" t="e">
        <f t="shared" ca="1" si="266"/>
        <v>#N/A</v>
      </c>
      <c r="AG584" s="306">
        <f t="shared" ca="1" si="288"/>
        <v>0.31856476852746241</v>
      </c>
      <c r="AH584" s="304">
        <f t="shared" ca="1" si="289"/>
        <v>-9.47758326443447</v>
      </c>
    </row>
    <row r="585" spans="1:34" x14ac:dyDescent="0.2">
      <c r="A585" s="347">
        <f t="shared" ca="1" si="267"/>
        <v>1E-4</v>
      </c>
      <c r="B585" s="304">
        <f t="shared" ca="1" si="268"/>
        <v>36.60670000000043</v>
      </c>
      <c r="D585" s="306">
        <f t="shared" ca="1" si="269"/>
        <v>-0.50347388114324176</v>
      </c>
      <c r="E585" s="307">
        <f t="shared" ca="1" si="270"/>
        <v>-0.34578356052018577</v>
      </c>
      <c r="F585" s="304">
        <f t="shared" ca="1" si="271"/>
        <v>0.61078000926639386</v>
      </c>
      <c r="G585" s="306">
        <f t="shared" ca="1" si="272"/>
        <v>5.3423480141697741</v>
      </c>
      <c r="H585" s="307">
        <f t="shared" ca="1" si="273"/>
        <v>-100.42553090181084</v>
      </c>
      <c r="I585" s="304">
        <f t="shared" ca="1" si="274"/>
        <v>100.56752924883394</v>
      </c>
      <c r="J585" s="306">
        <f t="shared" ca="1" si="275"/>
        <v>711.72888807733182</v>
      </c>
      <c r="K585" s="307">
        <f t="shared" ca="1" si="276"/>
        <v>-9.1149235814772673</v>
      </c>
      <c r="L585" s="304">
        <f t="shared" ca="1" si="261"/>
        <v>711.78725189180739</v>
      </c>
      <c r="M585" s="306">
        <f t="shared" ca="1" si="277"/>
        <v>-1.5176493131713544</v>
      </c>
      <c r="N585" s="304">
        <f t="shared" ca="1" si="278"/>
        <v>-86.954900425646741</v>
      </c>
      <c r="P585" s="310">
        <f t="shared" ca="1" si="279"/>
        <v>23</v>
      </c>
      <c r="Q585" s="304">
        <f t="shared" ca="1" si="280"/>
        <v>0</v>
      </c>
      <c r="R585" s="306">
        <f t="shared" ca="1" si="281"/>
        <v>0</v>
      </c>
      <c r="S585" s="307">
        <f t="shared" ca="1" si="282"/>
        <v>2.6792999999999987</v>
      </c>
      <c r="T585" s="304">
        <f t="shared" ca="1" si="262"/>
        <v>26.283932999999987</v>
      </c>
      <c r="U585" s="311">
        <f t="shared" ca="1" si="263"/>
        <v>0</v>
      </c>
      <c r="V585" s="306">
        <f t="shared" ca="1" si="264"/>
        <v>1.2261170872469755</v>
      </c>
      <c r="W585" s="304">
        <f t="shared" ca="1" si="265"/>
        <v>25.393372017498397</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0.31854951627718719</v>
      </c>
      <c r="AH585" s="304">
        <f t="shared" ca="1" si="289"/>
        <v>-9.4775987867346139</v>
      </c>
    </row>
    <row r="586" spans="1:34" x14ac:dyDescent="0.2">
      <c r="A586" s="347">
        <f t="shared" ca="1" si="267"/>
        <v>1E-4</v>
      </c>
      <c r="B586" s="304">
        <f t="shared" ca="1" si="268"/>
        <v>36.606800000000433</v>
      </c>
      <c r="D586" s="306">
        <f t="shared" ca="1" si="269"/>
        <v>-0.5034698014332819</v>
      </c>
      <c r="E586" s="307">
        <f t="shared" ca="1" si="270"/>
        <v>-0.34576779950301351</v>
      </c>
      <c r="F586" s="304">
        <f t="shared" ca="1" si="271"/>
        <v>0.61076772354834241</v>
      </c>
      <c r="G586" s="306">
        <f t="shared" ca="1" si="272"/>
        <v>5.3422976671896309</v>
      </c>
      <c r="H586" s="307">
        <f t="shared" ca="1" si="273"/>
        <v>-100.4255654785908</v>
      </c>
      <c r="I586" s="304">
        <f t="shared" ca="1" si="274"/>
        <v>100.56756110227387</v>
      </c>
      <c r="J586" s="306">
        <f t="shared" ca="1" si="275"/>
        <v>711.72888807733182</v>
      </c>
      <c r="K586" s="307">
        <f t="shared" ca="1" si="276"/>
        <v>-9.1249661362962868</v>
      </c>
      <c r="L586" s="304">
        <f t="shared" ca="1" si="261"/>
        <v>711.78738056443774</v>
      </c>
      <c r="M586" s="306">
        <f t="shared" ca="1" si="277"/>
        <v>-1.5176498313571267</v>
      </c>
      <c r="N586" s="304">
        <f t="shared" ca="1" si="278"/>
        <v>-86.95493011550451</v>
      </c>
      <c r="P586" s="310">
        <f t="shared" ca="1" si="279"/>
        <v>23</v>
      </c>
      <c r="Q586" s="304">
        <f t="shared" ca="1" si="280"/>
        <v>0</v>
      </c>
      <c r="R586" s="306">
        <f t="shared" ca="1" si="281"/>
        <v>0</v>
      </c>
      <c r="S586" s="307">
        <f t="shared" ca="1" si="282"/>
        <v>2.6792999999999987</v>
      </c>
      <c r="T586" s="304">
        <f t="shared" ca="1" si="262"/>
        <v>26.283932999999987</v>
      </c>
      <c r="U586" s="311">
        <f t="shared" ca="1" si="263"/>
        <v>0</v>
      </c>
      <c r="V586" s="306">
        <f t="shared" ca="1" si="264"/>
        <v>1.2261183185826561</v>
      </c>
      <c r="W586" s="304">
        <f t="shared" ca="1" si="265"/>
        <v>25.393413605000326</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0.31853426428223486</v>
      </c>
      <c r="AH586" s="304">
        <f t="shared" ca="1" si="289"/>
        <v>-9.4776143087740863</v>
      </c>
    </row>
    <row r="587" spans="1:34" x14ac:dyDescent="0.2">
      <c r="A587" s="347">
        <f t="shared" ca="1" si="267"/>
        <v>1E-4</v>
      </c>
      <c r="B587" s="304">
        <f t="shared" ca="1" si="268"/>
        <v>36.606900000000437</v>
      </c>
      <c r="D587" s="306">
        <f t="shared" ca="1" si="269"/>
        <v>-0.50346572174260129</v>
      </c>
      <c r="E587" s="307">
        <f t="shared" ca="1" si="270"/>
        <v>-0.34575203875046157</v>
      </c>
      <c r="F587" s="304">
        <f t="shared" ca="1" si="271"/>
        <v>0.61075543818282874</v>
      </c>
      <c r="G587" s="306">
        <f t="shared" ca="1" si="272"/>
        <v>5.3422473206174566</v>
      </c>
      <c r="H587" s="307">
        <f t="shared" ca="1" si="273"/>
        <v>-100.42560005379467</v>
      </c>
      <c r="I587" s="304">
        <f t="shared" ca="1" si="274"/>
        <v>100.56759295418861</v>
      </c>
      <c r="J587" s="306">
        <f t="shared" ca="1" si="275"/>
        <v>711.72888807733182</v>
      </c>
      <c r="K587" s="307">
        <f t="shared" ca="1" si="276"/>
        <v>-9.1350086945729068</v>
      </c>
      <c r="L587" s="304">
        <f t="shared" ca="1" si="261"/>
        <v>711.78750937877874</v>
      </c>
      <c r="M587" s="306">
        <f t="shared" ca="1" si="277"/>
        <v>-1.5176503495376874</v>
      </c>
      <c r="N587" s="304">
        <f t="shared" ca="1" si="278"/>
        <v>-86.954959805063652</v>
      </c>
      <c r="P587" s="310">
        <f t="shared" ca="1" si="279"/>
        <v>23</v>
      </c>
      <c r="Q587" s="304">
        <f t="shared" ca="1" si="280"/>
        <v>0</v>
      </c>
      <c r="R587" s="306">
        <f t="shared" ca="1" si="281"/>
        <v>0</v>
      </c>
      <c r="S587" s="307">
        <f t="shared" ca="1" si="282"/>
        <v>2.6792999999999987</v>
      </c>
      <c r="T587" s="304">
        <f t="shared" ca="1" si="262"/>
        <v>26.283932999999987</v>
      </c>
      <c r="U587" s="311">
        <f t="shared" ca="1" si="263"/>
        <v>0</v>
      </c>
      <c r="V587" s="306">
        <f t="shared" ca="1" si="264"/>
        <v>1.2261195499199977</v>
      </c>
      <c r="W587" s="304">
        <f t="shared" ca="1" si="265"/>
        <v>25.393455191803834</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0.3185190125426125</v>
      </c>
      <c r="AH587" s="304">
        <f t="shared" ca="1" si="289"/>
        <v>-9.4776298305528819</v>
      </c>
    </row>
    <row r="588" spans="1:34" x14ac:dyDescent="0.2">
      <c r="A588" s="347">
        <f t="shared" ca="1" si="267"/>
        <v>1E-4</v>
      </c>
      <c r="B588" s="304">
        <f t="shared" ca="1" si="268"/>
        <v>36.60700000000044</v>
      </c>
      <c r="D588" s="306">
        <f t="shared" ca="1" si="269"/>
        <v>-0.50346164207119892</v>
      </c>
      <c r="E588" s="307">
        <f t="shared" ca="1" si="270"/>
        <v>-0.34573627826252462</v>
      </c>
      <c r="F588" s="304">
        <f t="shared" ca="1" si="271"/>
        <v>0.61074315316984917</v>
      </c>
      <c r="G588" s="306">
        <f t="shared" ca="1" si="272"/>
        <v>5.3421969744532491</v>
      </c>
      <c r="H588" s="307">
        <f t="shared" ca="1" si="273"/>
        <v>-100.4256346274225</v>
      </c>
      <c r="I588" s="304">
        <f t="shared" ca="1" si="274"/>
        <v>100.56762480457823</v>
      </c>
      <c r="J588" s="306">
        <f t="shared" ca="1" si="275"/>
        <v>711.72888807733182</v>
      </c>
      <c r="K588" s="307">
        <f t="shared" ca="1" si="276"/>
        <v>-9.1450512563069672</v>
      </c>
      <c r="L588" s="304">
        <f t="shared" ca="1" si="261"/>
        <v>711.7876383348306</v>
      </c>
      <c r="M588" s="306">
        <f t="shared" ca="1" si="277"/>
        <v>-1.5176508677130363</v>
      </c>
      <c r="N588" s="304">
        <f t="shared" ca="1" si="278"/>
        <v>-86.954989494324195</v>
      </c>
      <c r="P588" s="310">
        <f t="shared" ca="1" si="279"/>
        <v>23</v>
      </c>
      <c r="Q588" s="304">
        <f t="shared" ca="1" si="280"/>
        <v>0</v>
      </c>
      <c r="R588" s="306">
        <f t="shared" ca="1" si="281"/>
        <v>0</v>
      </c>
      <c r="S588" s="307">
        <f t="shared" ca="1" si="282"/>
        <v>2.6792999999999987</v>
      </c>
      <c r="T588" s="304">
        <f t="shared" ca="1" si="262"/>
        <v>26.283932999999987</v>
      </c>
      <c r="U588" s="311">
        <f t="shared" ca="1" si="263"/>
        <v>0</v>
      </c>
      <c r="V588" s="306">
        <f t="shared" ca="1" si="264"/>
        <v>1.2261207812590007</v>
      </c>
      <c r="W588" s="304">
        <f t="shared" ca="1" si="265"/>
        <v>25.393496777908961</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0.31850376105831835</v>
      </c>
      <c r="AH588" s="304">
        <f t="shared" ca="1" si="289"/>
        <v>-9.477645352071006</v>
      </c>
    </row>
    <row r="589" spans="1:34" x14ac:dyDescent="0.2">
      <c r="A589" s="347">
        <f t="shared" ca="1" si="267"/>
        <v>1E-4</v>
      </c>
      <c r="B589" s="304">
        <f t="shared" ca="1" si="268"/>
        <v>36.607100000000443</v>
      </c>
      <c r="D589" s="306">
        <f t="shared" ca="1" si="269"/>
        <v>-0.50345756241907791</v>
      </c>
      <c r="E589" s="307">
        <f t="shared" ca="1" si="270"/>
        <v>-0.34572051803918669</v>
      </c>
      <c r="F589" s="304">
        <f t="shared" ca="1" si="271"/>
        <v>0.61073086850939784</v>
      </c>
      <c r="G589" s="306">
        <f t="shared" ca="1" si="272"/>
        <v>5.342146628697007</v>
      </c>
      <c r="H589" s="307">
        <f t="shared" ca="1" si="273"/>
        <v>-100.4256691994743</v>
      </c>
      <c r="I589" s="304">
        <f t="shared" ca="1" si="274"/>
        <v>100.56765665344271</v>
      </c>
      <c r="J589" s="306">
        <f t="shared" ca="1" si="275"/>
        <v>711.72888807733182</v>
      </c>
      <c r="K589" s="307">
        <f t="shared" ca="1" si="276"/>
        <v>-9.155093821498312</v>
      </c>
      <c r="L589" s="304">
        <f t="shared" ca="1" si="261"/>
        <v>711.78776743259334</v>
      </c>
      <c r="M589" s="306">
        <f t="shared" ca="1" si="277"/>
        <v>-1.5176513858831737</v>
      </c>
      <c r="N589" s="304">
        <f t="shared" ca="1" si="278"/>
        <v>-86.95501918328614</v>
      </c>
      <c r="P589" s="310">
        <f t="shared" ca="1" si="279"/>
        <v>23</v>
      </c>
      <c r="Q589" s="304">
        <f t="shared" ca="1" si="280"/>
        <v>0</v>
      </c>
      <c r="R589" s="306">
        <f t="shared" ca="1" si="281"/>
        <v>0</v>
      </c>
      <c r="S589" s="307">
        <f t="shared" ca="1" si="282"/>
        <v>2.6792999999999987</v>
      </c>
      <c r="T589" s="304">
        <f t="shared" ca="1" si="262"/>
        <v>26.283932999999987</v>
      </c>
      <c r="U589" s="311">
        <f t="shared" ca="1" si="263"/>
        <v>0</v>
      </c>
      <c r="V589" s="306">
        <f t="shared" ca="1" si="264"/>
        <v>1.2261220125996646</v>
      </c>
      <c r="W589" s="304">
        <f t="shared" ca="1" si="265"/>
        <v>25.393538363315685</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0.31848850982933463</v>
      </c>
      <c r="AH589" s="304">
        <f t="shared" ca="1" si="289"/>
        <v>-9.4776608733284711</v>
      </c>
    </row>
    <row r="590" spans="1:34" x14ac:dyDescent="0.2">
      <c r="A590" s="347">
        <f t="shared" ca="1" si="267"/>
        <v>1E-4</v>
      </c>
      <c r="B590" s="304">
        <f t="shared" ca="1" si="268"/>
        <v>36.607200000000446</v>
      </c>
      <c r="D590" s="306">
        <f t="shared" ca="1" si="269"/>
        <v>-0.50345348278623459</v>
      </c>
      <c r="E590" s="307">
        <f t="shared" ca="1" si="270"/>
        <v>-0.34570475808046019</v>
      </c>
      <c r="F590" s="304">
        <f t="shared" ca="1" si="271"/>
        <v>0.61071858420147895</v>
      </c>
      <c r="G590" s="306">
        <f t="shared" ca="1" si="272"/>
        <v>5.3420962833487282</v>
      </c>
      <c r="H590" s="307">
        <f t="shared" ca="1" si="273"/>
        <v>-100.4257037699501</v>
      </c>
      <c r="I590" s="304">
        <f t="shared" ca="1" si="274"/>
        <v>100.5676885007821</v>
      </c>
      <c r="J590" s="306">
        <f t="shared" ca="1" si="275"/>
        <v>711.72888807733182</v>
      </c>
      <c r="K590" s="307">
        <f t="shared" ca="1" si="276"/>
        <v>-9.1651363901467828</v>
      </c>
      <c r="L590" s="304">
        <f t="shared" ca="1" si="261"/>
        <v>711.78789667206695</v>
      </c>
      <c r="M590" s="306">
        <f t="shared" ca="1" si="277"/>
        <v>-1.5176519040480996</v>
      </c>
      <c r="N590" s="304">
        <f t="shared" ca="1" si="278"/>
        <v>-86.955048871949487</v>
      </c>
      <c r="P590" s="310">
        <f t="shared" ca="1" si="279"/>
        <v>23</v>
      </c>
      <c r="Q590" s="304">
        <f t="shared" ca="1" si="280"/>
        <v>0</v>
      </c>
      <c r="R590" s="306">
        <f t="shared" ca="1" si="281"/>
        <v>0</v>
      </c>
      <c r="S590" s="307">
        <f t="shared" ca="1" si="282"/>
        <v>2.6792999999999987</v>
      </c>
      <c r="T590" s="304">
        <f t="shared" ca="1" si="262"/>
        <v>26.283932999999987</v>
      </c>
      <c r="U590" s="311">
        <f t="shared" ca="1" si="263"/>
        <v>0</v>
      </c>
      <c r="V590" s="306">
        <f t="shared" ca="1" si="264"/>
        <v>1.2261232439419896</v>
      </c>
      <c r="W590" s="304">
        <f t="shared" ca="1" si="265"/>
        <v>25.39357994802403</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0.31847325885567201</v>
      </c>
      <c r="AH590" s="304">
        <f t="shared" ca="1" si="289"/>
        <v>-9.47767639432527</v>
      </c>
    </row>
    <row r="591" spans="1:34" x14ac:dyDescent="0.2">
      <c r="A591" s="347">
        <f t="shared" ca="1" si="267"/>
        <v>1E-4</v>
      </c>
      <c r="B591" s="304">
        <f t="shared" ca="1" si="268"/>
        <v>36.60730000000045</v>
      </c>
      <c r="D591" s="306">
        <f t="shared" ca="1" si="269"/>
        <v>-0.50344940317267217</v>
      </c>
      <c r="E591" s="307">
        <f t="shared" ca="1" si="270"/>
        <v>-0.34568899838633094</v>
      </c>
      <c r="F591" s="304">
        <f t="shared" ca="1" si="271"/>
        <v>0.61070630024608763</v>
      </c>
      <c r="G591" s="306">
        <f t="shared" ca="1" si="272"/>
        <v>5.3420459384084111</v>
      </c>
      <c r="H591" s="307">
        <f t="shared" ca="1" si="273"/>
        <v>-100.42573833884994</v>
      </c>
      <c r="I591" s="304">
        <f t="shared" ca="1" si="274"/>
        <v>100.5677203465964</v>
      </c>
      <c r="J591" s="306">
        <f t="shared" ca="1" si="275"/>
        <v>711.72888807733182</v>
      </c>
      <c r="K591" s="307">
        <f t="shared" ca="1" si="276"/>
        <v>-9.1751789622522235</v>
      </c>
      <c r="L591" s="304">
        <f t="shared" ca="1" si="261"/>
        <v>711.78802605325166</v>
      </c>
      <c r="M591" s="306">
        <f t="shared" ca="1" si="277"/>
        <v>-1.517652422207814</v>
      </c>
      <c r="N591" s="304">
        <f t="shared" ca="1" si="278"/>
        <v>-86.955078560314234</v>
      </c>
      <c r="P591" s="310">
        <f t="shared" ca="1" si="279"/>
        <v>23</v>
      </c>
      <c r="Q591" s="304">
        <f t="shared" ca="1" si="280"/>
        <v>0</v>
      </c>
      <c r="R591" s="306">
        <f t="shared" ca="1" si="281"/>
        <v>0</v>
      </c>
      <c r="S591" s="307">
        <f t="shared" ca="1" si="282"/>
        <v>2.6792999999999987</v>
      </c>
      <c r="T591" s="304">
        <f t="shared" ca="1" si="262"/>
        <v>26.283932999999987</v>
      </c>
      <c r="U591" s="311">
        <f t="shared" ca="1" si="263"/>
        <v>0</v>
      </c>
      <c r="V591" s="306">
        <f t="shared" ca="1" si="264"/>
        <v>1.2261244752859755</v>
      </c>
      <c r="W591" s="304">
        <f t="shared" ca="1" si="265"/>
        <v>25.393621532033986</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0.31845800813731984</v>
      </c>
      <c r="AH591" s="304">
        <f t="shared" ca="1" si="289"/>
        <v>-9.4776919150614116</v>
      </c>
    </row>
    <row r="592" spans="1:34" x14ac:dyDescent="0.2">
      <c r="A592" s="347">
        <f t="shared" ca="1" si="267"/>
        <v>1E-4</v>
      </c>
      <c r="B592" s="304">
        <f t="shared" ca="1" si="268"/>
        <v>36.607400000000453</v>
      </c>
      <c r="D592" s="306">
        <f t="shared" ca="1" si="269"/>
        <v>-0.50344532357838889</v>
      </c>
      <c r="E592" s="307">
        <f t="shared" ca="1" si="270"/>
        <v>-0.34567323895680602</v>
      </c>
      <c r="F592" s="304">
        <f t="shared" ca="1" si="271"/>
        <v>0.61069401664322687</v>
      </c>
      <c r="G592" s="306">
        <f t="shared" ca="1" si="272"/>
        <v>5.3419955938760531</v>
      </c>
      <c r="H592" s="307">
        <f t="shared" ca="1" si="273"/>
        <v>-100.42577290617383</v>
      </c>
      <c r="I592" s="304">
        <f t="shared" ca="1" si="274"/>
        <v>100.56775219088567</v>
      </c>
      <c r="J592" s="306">
        <f t="shared" ca="1" si="275"/>
        <v>711.72888807733182</v>
      </c>
      <c r="K592" s="307">
        <f t="shared" ca="1" si="276"/>
        <v>-9.1852215378144741</v>
      </c>
      <c r="L592" s="304">
        <f t="shared" ca="1" si="261"/>
        <v>711.78815557614746</v>
      </c>
      <c r="M592" s="306">
        <f t="shared" ca="1" si="277"/>
        <v>-1.5176529403623171</v>
      </c>
      <c r="N592" s="304">
        <f t="shared" ca="1" si="278"/>
        <v>-86.955108248380398</v>
      </c>
      <c r="P592" s="310">
        <f t="shared" ca="1" si="279"/>
        <v>23</v>
      </c>
      <c r="Q592" s="304">
        <f t="shared" ca="1" si="280"/>
        <v>0</v>
      </c>
      <c r="R592" s="306">
        <f t="shared" ca="1" si="281"/>
        <v>0</v>
      </c>
      <c r="S592" s="307">
        <f t="shared" ca="1" si="282"/>
        <v>2.6792999999999987</v>
      </c>
      <c r="T592" s="304">
        <f t="shared" ca="1" si="262"/>
        <v>26.283932999999987</v>
      </c>
      <c r="U592" s="311">
        <f t="shared" ca="1" si="263"/>
        <v>0</v>
      </c>
      <c r="V592" s="306">
        <f t="shared" ca="1" si="264"/>
        <v>1.226125706631622</v>
      </c>
      <c r="W592" s="304">
        <f t="shared" ca="1" si="265"/>
        <v>25.393663115345589</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0.31844275767428165</v>
      </c>
      <c r="AH592" s="304">
        <f t="shared" ca="1" si="289"/>
        <v>-9.4777074355368942</v>
      </c>
    </row>
    <row r="593" spans="1:34" x14ac:dyDescent="0.2">
      <c r="A593" s="347">
        <f t="shared" ca="1" si="267"/>
        <v>1E-4</v>
      </c>
      <c r="B593" s="304">
        <f t="shared" ca="1" si="268"/>
        <v>36.607500000000456</v>
      </c>
      <c r="D593" s="306">
        <f t="shared" ca="1" si="269"/>
        <v>-0.50344124400338619</v>
      </c>
      <c r="E593" s="307">
        <f t="shared" ca="1" si="270"/>
        <v>-0.34565747979187122</v>
      </c>
      <c r="F593" s="304">
        <f t="shared" ca="1" si="271"/>
        <v>0.61068173339289011</v>
      </c>
      <c r="G593" s="306">
        <f t="shared" ca="1" si="272"/>
        <v>5.3419452497516531</v>
      </c>
      <c r="H593" s="307">
        <f t="shared" ca="1" si="273"/>
        <v>-100.42580747192181</v>
      </c>
      <c r="I593" s="304">
        <f t="shared" ca="1" si="274"/>
        <v>100.56778403364991</v>
      </c>
      <c r="J593" s="306">
        <f t="shared" ca="1" si="275"/>
        <v>711.72888807733182</v>
      </c>
      <c r="K593" s="307">
        <f t="shared" ca="1" si="276"/>
        <v>-9.1952641168333784</v>
      </c>
      <c r="L593" s="304">
        <f t="shared" ca="1" si="261"/>
        <v>711.78828524075436</v>
      </c>
      <c r="M593" s="306">
        <f t="shared" ca="1" si="277"/>
        <v>-1.517653458511609</v>
      </c>
      <c r="N593" s="304">
        <f t="shared" ca="1" si="278"/>
        <v>-86.955137936147977</v>
      </c>
      <c r="P593" s="310">
        <f t="shared" ca="1" si="279"/>
        <v>23</v>
      </c>
      <c r="Q593" s="304">
        <f t="shared" ca="1" si="280"/>
        <v>0</v>
      </c>
      <c r="R593" s="306">
        <f t="shared" ca="1" si="281"/>
        <v>0</v>
      </c>
      <c r="S593" s="307">
        <f t="shared" ca="1" si="282"/>
        <v>2.6792999999999987</v>
      </c>
      <c r="T593" s="304">
        <f t="shared" ca="1" si="262"/>
        <v>26.283932999999987</v>
      </c>
      <c r="U593" s="311">
        <f t="shared" ca="1" si="263"/>
        <v>0</v>
      </c>
      <c r="V593" s="306">
        <f t="shared" ca="1" si="264"/>
        <v>1.2261269379789301</v>
      </c>
      <c r="W593" s="304">
        <f t="shared" ca="1" si="265"/>
        <v>25.393704697958842</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0.3184275074665468</v>
      </c>
      <c r="AH593" s="304">
        <f t="shared" ca="1" si="289"/>
        <v>-9.4777229557517266</v>
      </c>
    </row>
    <row r="594" spans="1:34" x14ac:dyDescent="0.2">
      <c r="A594" s="347">
        <f t="shared" ca="1" si="267"/>
        <v>1E-4</v>
      </c>
      <c r="B594" s="304">
        <f t="shared" ca="1" si="268"/>
        <v>36.60760000000046</v>
      </c>
      <c r="D594" s="306">
        <f t="shared" ca="1" si="269"/>
        <v>-0.50343716444766251</v>
      </c>
      <c r="E594" s="307">
        <f t="shared" ca="1" si="270"/>
        <v>-0.34564172089152478</v>
      </c>
      <c r="F594" s="304">
        <f t="shared" ca="1" si="271"/>
        <v>0.61066945049507559</v>
      </c>
      <c r="G594" s="306">
        <f t="shared" ca="1" si="272"/>
        <v>5.3418949060352086</v>
      </c>
      <c r="H594" s="307">
        <f t="shared" ca="1" si="273"/>
        <v>-100.4258420360939</v>
      </c>
      <c r="I594" s="304">
        <f t="shared" ca="1" si="274"/>
        <v>100.56781587488916</v>
      </c>
      <c r="J594" s="306">
        <f t="shared" ca="1" si="275"/>
        <v>711.72888807733182</v>
      </c>
      <c r="K594" s="307">
        <f t="shared" ca="1" si="276"/>
        <v>-9.20530669930878</v>
      </c>
      <c r="L594" s="304">
        <f t="shared" ca="1" si="261"/>
        <v>711.78841504707248</v>
      </c>
      <c r="M594" s="306">
        <f t="shared" ca="1" si="277"/>
        <v>-1.5176539766556896</v>
      </c>
      <c r="N594" s="304">
        <f t="shared" ca="1" si="278"/>
        <v>-86.955167623616973</v>
      </c>
      <c r="P594" s="310">
        <f t="shared" ca="1" si="279"/>
        <v>23</v>
      </c>
      <c r="Q594" s="304">
        <f t="shared" ca="1" si="280"/>
        <v>0</v>
      </c>
      <c r="R594" s="306">
        <f t="shared" ca="1" si="281"/>
        <v>0</v>
      </c>
      <c r="S594" s="307">
        <f t="shared" ca="1" si="282"/>
        <v>2.6792999999999987</v>
      </c>
      <c r="T594" s="304">
        <f t="shared" ca="1" si="262"/>
        <v>26.283932999999987</v>
      </c>
      <c r="U594" s="311">
        <f t="shared" ca="1" si="263"/>
        <v>0</v>
      </c>
      <c r="V594" s="306">
        <f t="shared" ca="1" si="264"/>
        <v>1.2261281693278991</v>
      </c>
      <c r="W594" s="304">
        <f t="shared" ca="1" si="265"/>
        <v>25.393746279873749</v>
      </c>
      <c r="Y594" s="314" t="str">
        <f t="shared" ca="1" si="283"/>
        <v/>
      </c>
      <c r="Z594" s="315" t="str">
        <f t="shared" ca="1" si="284"/>
        <v/>
      </c>
      <c r="AA594" s="316" t="str">
        <f t="shared" ca="1" si="285"/>
        <v/>
      </c>
      <c r="AC594" s="310" t="e">
        <f t="shared" ca="1" si="286"/>
        <v>#N/A</v>
      </c>
      <c r="AD594" s="323" t="e">
        <f t="shared" ca="1" si="287"/>
        <v>#N/A</v>
      </c>
      <c r="AE594" s="324" t="e">
        <f t="shared" ca="1" si="266"/>
        <v>#N/A</v>
      </c>
      <c r="AG594" s="306">
        <f t="shared" ca="1" si="288"/>
        <v>0.31841225751411173</v>
      </c>
      <c r="AH594" s="304">
        <f t="shared" ca="1" si="289"/>
        <v>-9.4777384757059142</v>
      </c>
    </row>
    <row r="595" spans="1:34" x14ac:dyDescent="0.2">
      <c r="A595" s="347">
        <f t="shared" ca="1" si="267"/>
        <v>1E-4</v>
      </c>
      <c r="B595" s="304">
        <f t="shared" ca="1" si="268"/>
        <v>36.607700000000463</v>
      </c>
      <c r="D595" s="306">
        <f t="shared" ca="1" si="269"/>
        <v>-0.50343308491122085</v>
      </c>
      <c r="E595" s="307">
        <f t="shared" ca="1" si="270"/>
        <v>-0.34562596225576669</v>
      </c>
      <c r="F595" s="304">
        <f t="shared" ca="1" si="271"/>
        <v>0.61065716794978597</v>
      </c>
      <c r="G595" s="306">
        <f t="shared" ca="1" si="272"/>
        <v>5.3418445627267177</v>
      </c>
      <c r="H595" s="307">
        <f t="shared" ca="1" si="273"/>
        <v>-100.42587659869012</v>
      </c>
      <c r="I595" s="304">
        <f t="shared" ca="1" si="274"/>
        <v>100.56784771460346</v>
      </c>
      <c r="J595" s="306">
        <f t="shared" ca="1" si="275"/>
        <v>711.72888807733182</v>
      </c>
      <c r="K595" s="307">
        <f t="shared" ca="1" si="276"/>
        <v>-9.215349285240519</v>
      </c>
      <c r="L595" s="304">
        <f t="shared" ca="1" si="261"/>
        <v>711.7885449951018</v>
      </c>
      <c r="M595" s="306">
        <f t="shared" ca="1" si="277"/>
        <v>-1.5176544947945587</v>
      </c>
      <c r="N595" s="304">
        <f t="shared" ca="1" si="278"/>
        <v>-86.955197310787383</v>
      </c>
      <c r="P595" s="310">
        <f t="shared" ca="1" si="279"/>
        <v>23</v>
      </c>
      <c r="Q595" s="304">
        <f t="shared" ca="1" si="280"/>
        <v>0</v>
      </c>
      <c r="R595" s="306">
        <f t="shared" ca="1" si="281"/>
        <v>0</v>
      </c>
      <c r="S595" s="307">
        <f t="shared" ca="1" si="282"/>
        <v>2.6792999999999987</v>
      </c>
      <c r="T595" s="304">
        <f t="shared" ca="1" si="262"/>
        <v>26.283932999999987</v>
      </c>
      <c r="U595" s="311">
        <f t="shared" ca="1" si="263"/>
        <v>0</v>
      </c>
      <c r="V595" s="306">
        <f t="shared" ca="1" si="264"/>
        <v>1.226129400678529</v>
      </c>
      <c r="W595" s="304">
        <f t="shared" ca="1" si="265"/>
        <v>25.393787861090335</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0.31839700781697822</v>
      </c>
      <c r="AH595" s="304">
        <f t="shared" ca="1" si="289"/>
        <v>-9.4777539953994552</v>
      </c>
    </row>
    <row r="596" spans="1:34" x14ac:dyDescent="0.2">
      <c r="A596" s="347">
        <f t="shared" ca="1" si="267"/>
        <v>1E-4</v>
      </c>
      <c r="B596" s="304">
        <f t="shared" ca="1" si="268"/>
        <v>36.607800000000466</v>
      </c>
      <c r="D596" s="306">
        <f t="shared" ca="1" si="269"/>
        <v>-0.50342900539406243</v>
      </c>
      <c r="E596" s="307">
        <f t="shared" ca="1" si="270"/>
        <v>-0.34561020388458452</v>
      </c>
      <c r="F596" s="304">
        <f t="shared" ca="1" si="271"/>
        <v>0.61064488575701592</v>
      </c>
      <c r="G596" s="306">
        <f t="shared" ca="1" si="272"/>
        <v>5.3417942198261779</v>
      </c>
      <c r="H596" s="307">
        <f t="shared" ca="1" si="273"/>
        <v>-100.42591115971051</v>
      </c>
      <c r="I596" s="304">
        <f t="shared" ca="1" si="274"/>
        <v>100.56787955279279</v>
      </c>
      <c r="J596" s="306">
        <f t="shared" ca="1" si="275"/>
        <v>711.72888807733182</v>
      </c>
      <c r="K596" s="307">
        <f t="shared" ca="1" si="276"/>
        <v>-9.2253918746284391</v>
      </c>
      <c r="L596" s="304">
        <f t="shared" ca="1" si="261"/>
        <v>711.78867508484257</v>
      </c>
      <c r="M596" s="306">
        <f t="shared" ca="1" si="277"/>
        <v>-1.5176550129282169</v>
      </c>
      <c r="N596" s="304">
        <f t="shared" ca="1" si="278"/>
        <v>-86.955226997659224</v>
      </c>
      <c r="P596" s="310">
        <f t="shared" ca="1" si="279"/>
        <v>23</v>
      </c>
      <c r="Q596" s="304">
        <f t="shared" ca="1" si="280"/>
        <v>0</v>
      </c>
      <c r="R596" s="306">
        <f t="shared" ca="1" si="281"/>
        <v>0</v>
      </c>
      <c r="S596" s="307">
        <f t="shared" ca="1" si="282"/>
        <v>2.6792999999999987</v>
      </c>
      <c r="T596" s="304">
        <f t="shared" ca="1" si="262"/>
        <v>26.283932999999987</v>
      </c>
      <c r="U596" s="311">
        <f t="shared" ca="1" si="263"/>
        <v>0</v>
      </c>
      <c r="V596" s="306">
        <f t="shared" ca="1" si="264"/>
        <v>1.2261306320308196</v>
      </c>
      <c r="W596" s="304">
        <f t="shared" ca="1" si="265"/>
        <v>25.393829441608563</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0.31838175837513383</v>
      </c>
      <c r="AH596" s="304">
        <f t="shared" ca="1" si="289"/>
        <v>-9.477769514832362</v>
      </c>
    </row>
    <row r="597" spans="1:34" x14ac:dyDescent="0.2">
      <c r="A597" s="347">
        <f t="shared" ca="1" si="267"/>
        <v>1E-4</v>
      </c>
      <c r="B597" s="304">
        <f t="shared" ca="1" si="268"/>
        <v>36.60790000000047</v>
      </c>
      <c r="D597" s="306">
        <f t="shared" ca="1" si="269"/>
        <v>-0.50342492589618271</v>
      </c>
      <c r="E597" s="307">
        <f t="shared" ca="1" si="270"/>
        <v>-0.34559444577799425</v>
      </c>
      <c r="F597" s="304">
        <f t="shared" ca="1" si="271"/>
        <v>0.61063260391677099</v>
      </c>
      <c r="G597" s="306">
        <f t="shared" ca="1" si="272"/>
        <v>5.3417438773335881</v>
      </c>
      <c r="H597" s="307">
        <f t="shared" ca="1" si="273"/>
        <v>-100.42594571915508</v>
      </c>
      <c r="I597" s="304">
        <f t="shared" ca="1" si="274"/>
        <v>100.56791138945719</v>
      </c>
      <c r="J597" s="306">
        <f t="shared" ca="1" si="275"/>
        <v>711.72888807733182</v>
      </c>
      <c r="K597" s="307">
        <f t="shared" ca="1" si="276"/>
        <v>-9.2354344674723823</v>
      </c>
      <c r="L597" s="304">
        <f t="shared" ca="1" si="261"/>
        <v>711.78880531629466</v>
      </c>
      <c r="M597" s="306">
        <f t="shared" ca="1" si="277"/>
        <v>-1.517655531056664</v>
      </c>
      <c r="N597" s="304">
        <f t="shared" ca="1" si="278"/>
        <v>-86.955256684232481</v>
      </c>
      <c r="P597" s="310">
        <f t="shared" ca="1" si="279"/>
        <v>23</v>
      </c>
      <c r="Q597" s="304">
        <f t="shared" ca="1" si="280"/>
        <v>0</v>
      </c>
      <c r="R597" s="306">
        <f t="shared" ca="1" si="281"/>
        <v>0</v>
      </c>
      <c r="S597" s="307">
        <f t="shared" ca="1" si="282"/>
        <v>2.6792999999999987</v>
      </c>
      <c r="T597" s="304">
        <f t="shared" ca="1" si="262"/>
        <v>26.283932999999987</v>
      </c>
      <c r="U597" s="311">
        <f t="shared" ca="1" si="263"/>
        <v>0</v>
      </c>
      <c r="V597" s="306">
        <f t="shared" ca="1" si="264"/>
        <v>1.2261318633847711</v>
      </c>
      <c r="W597" s="304">
        <f t="shared" ca="1" si="265"/>
        <v>25.393871021428492</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0.31836650918859455</v>
      </c>
      <c r="AH597" s="304">
        <f t="shared" ca="1" si="289"/>
        <v>-9.4777850340046186</v>
      </c>
    </row>
    <row r="598" spans="1:34" x14ac:dyDescent="0.2">
      <c r="A598" s="347">
        <f t="shared" ca="1" si="267"/>
        <v>1E-4</v>
      </c>
      <c r="B598" s="304">
        <f t="shared" ca="1" si="268"/>
        <v>36.608000000000473</v>
      </c>
      <c r="D598" s="306">
        <f t="shared" ca="1" si="269"/>
        <v>-0.50342084641758589</v>
      </c>
      <c r="E598" s="307">
        <f t="shared" ca="1" si="270"/>
        <v>-0.34557868793597457</v>
      </c>
      <c r="F598" s="304">
        <f t="shared" ca="1" si="271"/>
        <v>0.61062032242904285</v>
      </c>
      <c r="G598" s="306">
        <f t="shared" ca="1" si="272"/>
        <v>5.3416935352489467</v>
      </c>
      <c r="H598" s="307">
        <f t="shared" ca="1" si="273"/>
        <v>-100.42598027702387</v>
      </c>
      <c r="I598" s="304">
        <f t="shared" ca="1" si="274"/>
        <v>100.5679432245967</v>
      </c>
      <c r="J598" s="306">
        <f t="shared" ca="1" si="275"/>
        <v>711.72888807733182</v>
      </c>
      <c r="K598" s="307">
        <f t="shared" ca="1" si="276"/>
        <v>-9.2454770637721904</v>
      </c>
      <c r="L598" s="304">
        <f t="shared" ca="1" si="261"/>
        <v>711.7889356894583</v>
      </c>
      <c r="M598" s="306">
        <f t="shared" ca="1" si="277"/>
        <v>-1.5176560491799</v>
      </c>
      <c r="N598" s="304">
        <f t="shared" ca="1" si="278"/>
        <v>-86.955286370507181</v>
      </c>
      <c r="P598" s="310">
        <f t="shared" ca="1" si="279"/>
        <v>23</v>
      </c>
      <c r="Q598" s="304">
        <f t="shared" ca="1" si="280"/>
        <v>0</v>
      </c>
      <c r="R598" s="306">
        <f t="shared" ca="1" si="281"/>
        <v>0</v>
      </c>
      <c r="S598" s="307">
        <f t="shared" ca="1" si="282"/>
        <v>2.6792999999999987</v>
      </c>
      <c r="T598" s="304">
        <f t="shared" ca="1" si="262"/>
        <v>26.283932999999987</v>
      </c>
      <c r="U598" s="311">
        <f t="shared" ca="1" si="263"/>
        <v>0</v>
      </c>
      <c r="V598" s="306">
        <f t="shared" ca="1" si="264"/>
        <v>1.2261330947403837</v>
      </c>
      <c r="W598" s="304">
        <f t="shared" ca="1" si="265"/>
        <v>25.393912600550102</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0.31835126025733551</v>
      </c>
      <c r="AH598" s="304">
        <f t="shared" ca="1" si="289"/>
        <v>-9.4778005529162481</v>
      </c>
    </row>
    <row r="599" spans="1:34" x14ac:dyDescent="0.2">
      <c r="A599" s="347">
        <f t="shared" ca="1" si="267"/>
        <v>1E-4</v>
      </c>
      <c r="B599" s="304">
        <f t="shared" ca="1" si="268"/>
        <v>36.608100000000476</v>
      </c>
      <c r="D599" s="306">
        <f t="shared" ca="1" si="269"/>
        <v>-0.50341676695826998</v>
      </c>
      <c r="E599" s="307">
        <f t="shared" ca="1" si="270"/>
        <v>-0.34556293035853081</v>
      </c>
      <c r="F599" s="304">
        <f t="shared" ca="1" si="271"/>
        <v>0.6106080412938335</v>
      </c>
      <c r="G599" s="306">
        <f t="shared" ca="1" si="272"/>
        <v>5.341643193572251</v>
      </c>
      <c r="H599" s="307">
        <f t="shared" ca="1" si="273"/>
        <v>-100.4260148333169</v>
      </c>
      <c r="I599" s="304">
        <f t="shared" ca="1" si="274"/>
        <v>100.56797505821136</v>
      </c>
      <c r="J599" s="306">
        <f t="shared" ca="1" si="275"/>
        <v>711.72888807733182</v>
      </c>
      <c r="K599" s="307">
        <f t="shared" ca="1" si="276"/>
        <v>-9.2555196635277071</v>
      </c>
      <c r="L599" s="304">
        <f t="shared" ca="1" si="261"/>
        <v>711.78906620433349</v>
      </c>
      <c r="M599" s="306">
        <f t="shared" ca="1" si="277"/>
        <v>-1.5176565672979252</v>
      </c>
      <c r="N599" s="304">
        <f t="shared" ca="1" si="278"/>
        <v>-86.955316056483312</v>
      </c>
      <c r="P599" s="310">
        <f t="shared" ca="1" si="279"/>
        <v>23</v>
      </c>
      <c r="Q599" s="304">
        <f t="shared" ca="1" si="280"/>
        <v>0</v>
      </c>
      <c r="R599" s="306">
        <f t="shared" ca="1" si="281"/>
        <v>0</v>
      </c>
      <c r="S599" s="307">
        <f t="shared" ca="1" si="282"/>
        <v>2.6792999999999987</v>
      </c>
      <c r="T599" s="304">
        <f t="shared" ca="1" si="262"/>
        <v>26.283932999999987</v>
      </c>
      <c r="U599" s="311">
        <f t="shared" ca="1" si="263"/>
        <v>0</v>
      </c>
      <c r="V599" s="306">
        <f t="shared" ca="1" si="264"/>
        <v>1.2261343260976574</v>
      </c>
      <c r="W599" s="304">
        <f t="shared" ca="1" si="265"/>
        <v>25.393954178973441</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0.3183360115813656</v>
      </c>
      <c r="AH599" s="304">
        <f t="shared" ca="1" si="289"/>
        <v>-9.4778160715672435</v>
      </c>
    </row>
    <row r="600" spans="1:34" x14ac:dyDescent="0.2">
      <c r="A600" s="347">
        <f t="shared" ca="1" si="267"/>
        <v>1E-4</v>
      </c>
      <c r="B600" s="304">
        <f t="shared" ca="1" si="268"/>
        <v>36.60820000000048</v>
      </c>
      <c r="D600" s="306">
        <f t="shared" ca="1" si="269"/>
        <v>-0.50341268751823653</v>
      </c>
      <c r="E600" s="307">
        <f t="shared" ca="1" si="270"/>
        <v>-0.34554717304564697</v>
      </c>
      <c r="F600" s="304">
        <f t="shared" ca="1" si="271"/>
        <v>0.61059576051113551</v>
      </c>
      <c r="G600" s="306">
        <f t="shared" ca="1" si="272"/>
        <v>5.3415928523034992</v>
      </c>
      <c r="H600" s="307">
        <f t="shared" ca="1" si="273"/>
        <v>-100.4260493880342</v>
      </c>
      <c r="I600" s="304">
        <f t="shared" ca="1" si="274"/>
        <v>100.56800689030116</v>
      </c>
      <c r="J600" s="306">
        <f t="shared" ca="1" si="275"/>
        <v>711.72888807733182</v>
      </c>
      <c r="K600" s="307">
        <f t="shared" ca="1" si="276"/>
        <v>-9.2655622667387743</v>
      </c>
      <c r="L600" s="304">
        <f t="shared" ca="1" si="261"/>
        <v>711.78919686092024</v>
      </c>
      <c r="M600" s="306">
        <f t="shared" ca="1" si="277"/>
        <v>-1.5176570854107394</v>
      </c>
      <c r="N600" s="304">
        <f t="shared" ca="1" si="278"/>
        <v>-86.955345742160873</v>
      </c>
      <c r="P600" s="310">
        <f t="shared" ca="1" si="279"/>
        <v>23</v>
      </c>
      <c r="Q600" s="304">
        <f t="shared" ca="1" si="280"/>
        <v>0</v>
      </c>
      <c r="R600" s="306">
        <f t="shared" ca="1" si="281"/>
        <v>0</v>
      </c>
      <c r="S600" s="307">
        <f t="shared" ca="1" si="282"/>
        <v>2.6792999999999987</v>
      </c>
      <c r="T600" s="304">
        <f t="shared" ca="1" si="262"/>
        <v>26.283932999999987</v>
      </c>
      <c r="U600" s="311">
        <f t="shared" ca="1" si="263"/>
        <v>0</v>
      </c>
      <c r="V600" s="306">
        <f t="shared" ca="1" si="264"/>
        <v>1.2261355574565915</v>
      </c>
      <c r="W600" s="304">
        <f t="shared" ca="1" si="265"/>
        <v>25.393995756698473</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0.31832076316066882</v>
      </c>
      <c r="AH600" s="304">
        <f t="shared" ca="1" si="289"/>
        <v>-9.4778315899576207</v>
      </c>
    </row>
    <row r="601" spans="1:34" x14ac:dyDescent="0.2">
      <c r="A601" s="347">
        <f t="shared" ca="1" si="267"/>
        <v>1E-4</v>
      </c>
      <c r="B601" s="304">
        <f t="shared" ca="1" si="268"/>
        <v>36.608300000000483</v>
      </c>
      <c r="D601" s="306">
        <f t="shared" ca="1" si="269"/>
        <v>-0.50340860809748567</v>
      </c>
      <c r="E601" s="307">
        <f t="shared" ca="1" si="270"/>
        <v>-0.34553141599733372</v>
      </c>
      <c r="F601" s="304">
        <f t="shared" ca="1" si="271"/>
        <v>0.61058348008095542</v>
      </c>
      <c r="G601" s="306">
        <f t="shared" ca="1" si="272"/>
        <v>5.3415425114426895</v>
      </c>
      <c r="H601" s="307">
        <f t="shared" ca="1" si="273"/>
        <v>-100.4260839411758</v>
      </c>
      <c r="I601" s="304">
        <f t="shared" ca="1" si="274"/>
        <v>100.56803872086617</v>
      </c>
      <c r="J601" s="306">
        <f t="shared" ca="1" si="275"/>
        <v>711.72888807733182</v>
      </c>
      <c r="K601" s="307">
        <f t="shared" ca="1" si="276"/>
        <v>-9.2756048734052339</v>
      </c>
      <c r="L601" s="304">
        <f t="shared" ca="1" si="261"/>
        <v>711.78932765921877</v>
      </c>
      <c r="M601" s="306">
        <f t="shared" ca="1" si="277"/>
        <v>-1.5176576035183427</v>
      </c>
      <c r="N601" s="304">
        <f t="shared" ca="1" si="278"/>
        <v>-86.955375427539877</v>
      </c>
      <c r="P601" s="310">
        <f t="shared" ca="1" si="279"/>
        <v>23</v>
      </c>
      <c r="Q601" s="304">
        <f t="shared" ca="1" si="280"/>
        <v>0</v>
      </c>
      <c r="R601" s="306">
        <f t="shared" ca="1" si="281"/>
        <v>0</v>
      </c>
      <c r="S601" s="307">
        <f t="shared" ca="1" si="282"/>
        <v>2.6792999999999987</v>
      </c>
      <c r="T601" s="304">
        <f t="shared" ca="1" si="262"/>
        <v>26.283932999999987</v>
      </c>
      <c r="U601" s="311">
        <f t="shared" ca="1" si="263"/>
        <v>0</v>
      </c>
      <c r="V601" s="306">
        <f t="shared" ca="1" si="264"/>
        <v>1.2261367888171868</v>
      </c>
      <c r="W601" s="304">
        <f t="shared" ca="1" si="265"/>
        <v>25.394037333725247</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0.31830551499525761</v>
      </c>
      <c r="AH601" s="304">
        <f t="shared" ca="1" si="289"/>
        <v>-9.477847108087369</v>
      </c>
    </row>
    <row r="602" spans="1:34" x14ac:dyDescent="0.2">
      <c r="A602" s="347">
        <f t="shared" ca="1" si="267"/>
        <v>1E-4</v>
      </c>
      <c r="B602" s="304">
        <f t="shared" ca="1" si="268"/>
        <v>36.608400000000486</v>
      </c>
      <c r="D602" s="306">
        <f t="shared" ca="1" si="269"/>
        <v>-0.5034045286960187</v>
      </c>
      <c r="E602" s="307">
        <f t="shared" ca="1" si="270"/>
        <v>-0.34551565921357685</v>
      </c>
      <c r="F602" s="304">
        <f t="shared" ca="1" si="271"/>
        <v>0.61057120000328646</v>
      </c>
      <c r="G602" s="306">
        <f t="shared" ca="1" si="272"/>
        <v>5.3414921709898202</v>
      </c>
      <c r="H602" s="307">
        <f t="shared" ca="1" si="273"/>
        <v>-100.42611849274172</v>
      </c>
      <c r="I602" s="304">
        <f t="shared" ca="1" si="274"/>
        <v>100.56807054990638</v>
      </c>
      <c r="J602" s="306">
        <f t="shared" ca="1" si="275"/>
        <v>711.72888807733182</v>
      </c>
      <c r="K602" s="307">
        <f t="shared" ca="1" si="276"/>
        <v>-9.2856474835269296</v>
      </c>
      <c r="L602" s="304">
        <f t="shared" ca="1" si="261"/>
        <v>711.78945859922896</v>
      </c>
      <c r="M602" s="306">
        <f t="shared" ca="1" si="277"/>
        <v>-1.5176581216207354</v>
      </c>
      <c r="N602" s="304">
        <f t="shared" ca="1" si="278"/>
        <v>-86.95540511262034</v>
      </c>
      <c r="P602" s="310">
        <f t="shared" ca="1" si="279"/>
        <v>23</v>
      </c>
      <c r="Q602" s="304">
        <f t="shared" ca="1" si="280"/>
        <v>0</v>
      </c>
      <c r="R602" s="306">
        <f t="shared" ca="1" si="281"/>
        <v>0</v>
      </c>
      <c r="S602" s="307">
        <f t="shared" ca="1" si="282"/>
        <v>2.6792999999999987</v>
      </c>
      <c r="T602" s="304">
        <f t="shared" ca="1" si="262"/>
        <v>26.283932999999987</v>
      </c>
      <c r="U602" s="311">
        <f t="shared" ca="1" si="263"/>
        <v>0</v>
      </c>
      <c r="V602" s="306">
        <f t="shared" ca="1" si="264"/>
        <v>1.226138020179443</v>
      </c>
      <c r="W602" s="304">
        <f t="shared" ca="1" si="265"/>
        <v>25.394078910053747</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0.31829026708511599</v>
      </c>
      <c r="AH602" s="304">
        <f t="shared" ca="1" si="289"/>
        <v>-9.4778626259565026</v>
      </c>
    </row>
    <row r="603" spans="1:34" x14ac:dyDescent="0.2">
      <c r="A603" s="347">
        <f t="shared" ca="1" si="267"/>
        <v>1E-4</v>
      </c>
      <c r="B603" s="304">
        <f t="shared" ca="1" si="268"/>
        <v>36.60850000000049</v>
      </c>
      <c r="D603" s="306">
        <f t="shared" ca="1" si="269"/>
        <v>-0.50340044931383199</v>
      </c>
      <c r="E603" s="307">
        <f t="shared" ca="1" si="270"/>
        <v>-0.34549990269437814</v>
      </c>
      <c r="F603" s="304">
        <f t="shared" ca="1" si="271"/>
        <v>0.61055892027812741</v>
      </c>
      <c r="G603" s="306">
        <f t="shared" ca="1" si="272"/>
        <v>5.3414418309448886</v>
      </c>
      <c r="H603" s="307">
        <f t="shared" ca="1" si="273"/>
        <v>-100.426153042732</v>
      </c>
      <c r="I603" s="304">
        <f t="shared" ca="1" si="274"/>
        <v>100.56810237742182</v>
      </c>
      <c r="J603" s="306">
        <f t="shared" ca="1" si="275"/>
        <v>711.72888807733182</v>
      </c>
      <c r="K603" s="307">
        <f t="shared" ca="1" si="276"/>
        <v>-9.2956900971037033</v>
      </c>
      <c r="L603" s="304">
        <f t="shared" ca="1" si="261"/>
        <v>711.78958968095094</v>
      </c>
      <c r="M603" s="306">
        <f t="shared" ca="1" si="277"/>
        <v>-1.5176586397179173</v>
      </c>
      <c r="N603" s="304">
        <f t="shared" ca="1" si="278"/>
        <v>-86.955434797402233</v>
      </c>
      <c r="P603" s="310">
        <f t="shared" ca="1" si="279"/>
        <v>23</v>
      </c>
      <c r="Q603" s="304">
        <f t="shared" ca="1" si="280"/>
        <v>0</v>
      </c>
      <c r="R603" s="306">
        <f t="shared" ca="1" si="281"/>
        <v>0</v>
      </c>
      <c r="S603" s="307">
        <f t="shared" ca="1" si="282"/>
        <v>2.6792999999999987</v>
      </c>
      <c r="T603" s="304">
        <f t="shared" ca="1" si="262"/>
        <v>26.283932999999987</v>
      </c>
      <c r="U603" s="311">
        <f t="shared" ca="1" si="263"/>
        <v>0</v>
      </c>
      <c r="V603" s="306">
        <f t="shared" ca="1" si="264"/>
        <v>1.2261392515433598</v>
      </c>
      <c r="W603" s="304">
        <f t="shared" ca="1" si="265"/>
        <v>25.394120485683981</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0.31827501943024572</v>
      </c>
      <c r="AH603" s="304">
        <f t="shared" ca="1" si="289"/>
        <v>-9.4778781435650199</v>
      </c>
    </row>
    <row r="604" spans="1:34" x14ac:dyDescent="0.2">
      <c r="A604" s="347">
        <f t="shared" ca="1" si="267"/>
        <v>1E-4</v>
      </c>
      <c r="B604" s="304">
        <f t="shared" ca="1" si="268"/>
        <v>36.608600000000493</v>
      </c>
      <c r="D604" s="306">
        <f t="shared" ca="1" si="269"/>
        <v>-0.50339636995093073</v>
      </c>
      <c r="E604" s="307">
        <f t="shared" ca="1" si="270"/>
        <v>-0.3454841464397358</v>
      </c>
      <c r="F604" s="304">
        <f t="shared" ca="1" si="271"/>
        <v>0.61054664090548161</v>
      </c>
      <c r="G604" s="306">
        <f t="shared" ca="1" si="272"/>
        <v>5.3413914913078937</v>
      </c>
      <c r="H604" s="307">
        <f t="shared" ca="1" si="273"/>
        <v>-100.42618759114664</v>
      </c>
      <c r="I604" s="304">
        <f t="shared" ca="1" si="274"/>
        <v>100.56813420341253</v>
      </c>
      <c r="J604" s="306">
        <f t="shared" ca="1" si="275"/>
        <v>711.72888807733182</v>
      </c>
      <c r="K604" s="307">
        <f t="shared" ca="1" si="276"/>
        <v>-9.3057327141353969</v>
      </c>
      <c r="L604" s="304">
        <f t="shared" ca="1" si="261"/>
        <v>711.78972090438481</v>
      </c>
      <c r="M604" s="306">
        <f t="shared" ca="1" si="277"/>
        <v>-1.5176591578098886</v>
      </c>
      <c r="N604" s="304">
        <f t="shared" ca="1" si="278"/>
        <v>-86.955464481885585</v>
      </c>
      <c r="P604" s="310">
        <f t="shared" ca="1" si="279"/>
        <v>23</v>
      </c>
      <c r="Q604" s="304">
        <f t="shared" ca="1" si="280"/>
        <v>0</v>
      </c>
      <c r="R604" s="306">
        <f t="shared" ca="1" si="281"/>
        <v>0</v>
      </c>
      <c r="S604" s="307">
        <f t="shared" ca="1" si="282"/>
        <v>2.6792999999999987</v>
      </c>
      <c r="T604" s="304">
        <f t="shared" ca="1" si="262"/>
        <v>26.283932999999987</v>
      </c>
      <c r="U604" s="311">
        <f t="shared" ca="1" si="263"/>
        <v>0</v>
      </c>
      <c r="V604" s="306">
        <f t="shared" ca="1" si="264"/>
        <v>1.2261404829089375</v>
      </c>
      <c r="W604" s="304">
        <f t="shared" ca="1" si="265"/>
        <v>25.394162060615979</v>
      </c>
      <c r="Y604" s="314" t="str">
        <f t="shared" ca="1" si="283"/>
        <v/>
      </c>
      <c r="Z604" s="315" t="str">
        <f t="shared" ca="1" si="284"/>
        <v/>
      </c>
      <c r="AA604" s="316" t="str">
        <f t="shared" ca="1" si="285"/>
        <v/>
      </c>
      <c r="AC604" s="310" t="e">
        <f t="shared" ca="1" si="286"/>
        <v>#N/A</v>
      </c>
      <c r="AD604" s="323" t="e">
        <f t="shared" ca="1" si="287"/>
        <v>#N/A</v>
      </c>
      <c r="AE604" s="324" t="e">
        <f t="shared" ca="1" si="266"/>
        <v>#N/A</v>
      </c>
      <c r="AG604" s="306">
        <f t="shared" ca="1" si="288"/>
        <v>0.31825977203064504</v>
      </c>
      <c r="AH604" s="304">
        <f t="shared" ca="1" si="289"/>
        <v>-9.4778936609129225</v>
      </c>
    </row>
    <row r="605" spans="1:34" x14ac:dyDescent="0.2">
      <c r="A605" s="347">
        <f t="shared" ca="1" si="267"/>
        <v>1E-4</v>
      </c>
      <c r="B605" s="304">
        <f t="shared" ca="1" si="268"/>
        <v>36.608700000000496</v>
      </c>
      <c r="D605" s="306">
        <f t="shared" ca="1" si="269"/>
        <v>-0.50339229060731161</v>
      </c>
      <c r="E605" s="307">
        <f t="shared" ca="1" si="270"/>
        <v>-0.34546839044963917</v>
      </c>
      <c r="F605" s="304">
        <f t="shared" ca="1" si="271"/>
        <v>0.61053436188534094</v>
      </c>
      <c r="G605" s="306">
        <f t="shared" ca="1" si="272"/>
        <v>5.341341152078833</v>
      </c>
      <c r="H605" s="307">
        <f t="shared" ca="1" si="273"/>
        <v>-100.42622213798569</v>
      </c>
      <c r="I605" s="304">
        <f t="shared" ca="1" si="274"/>
        <v>100.56816602787852</v>
      </c>
      <c r="J605" s="306">
        <f t="shared" ca="1" si="275"/>
        <v>711.72888807733182</v>
      </c>
      <c r="K605" s="307">
        <f t="shared" ca="1" si="276"/>
        <v>-9.3157753346218541</v>
      </c>
      <c r="L605" s="304">
        <f t="shared" ca="1" si="261"/>
        <v>711.78985226953068</v>
      </c>
      <c r="M605" s="306">
        <f t="shared" ca="1" si="277"/>
        <v>-1.5176596758966492</v>
      </c>
      <c r="N605" s="304">
        <f t="shared" ca="1" si="278"/>
        <v>-86.955494166070395</v>
      </c>
      <c r="P605" s="310">
        <f t="shared" ca="1" si="279"/>
        <v>23</v>
      </c>
      <c r="Q605" s="304">
        <f t="shared" ca="1" si="280"/>
        <v>0</v>
      </c>
      <c r="R605" s="306">
        <f t="shared" ca="1" si="281"/>
        <v>0</v>
      </c>
      <c r="S605" s="307">
        <f t="shared" ca="1" si="282"/>
        <v>2.6792999999999987</v>
      </c>
      <c r="T605" s="304">
        <f t="shared" ca="1" si="262"/>
        <v>26.283932999999987</v>
      </c>
      <c r="U605" s="311">
        <f t="shared" ca="1" si="263"/>
        <v>0</v>
      </c>
      <c r="V605" s="306">
        <f t="shared" ca="1" si="264"/>
        <v>1.2261417142761757</v>
      </c>
      <c r="W605" s="304">
        <f t="shared" ca="1" si="265"/>
        <v>25.394203634849735</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0.31824452488630328</v>
      </c>
      <c r="AH605" s="304">
        <f t="shared" ca="1" si="289"/>
        <v>-9.4779091780002211</v>
      </c>
    </row>
    <row r="606" spans="1:34" x14ac:dyDescent="0.2">
      <c r="A606" s="347">
        <f t="shared" ca="1" si="267"/>
        <v>1E-4</v>
      </c>
      <c r="B606" s="304">
        <f t="shared" ca="1" si="268"/>
        <v>36.6088000000005</v>
      </c>
      <c r="D606" s="306">
        <f t="shared" ca="1" si="269"/>
        <v>-0.50338821128297728</v>
      </c>
      <c r="E606" s="307">
        <f t="shared" ca="1" si="270"/>
        <v>-0.34545263472409182</v>
      </c>
      <c r="F606" s="304">
        <f t="shared" ca="1" si="271"/>
        <v>0.61052208321770984</v>
      </c>
      <c r="G606" s="306">
        <f t="shared" ca="1" si="272"/>
        <v>5.3412908132577046</v>
      </c>
      <c r="H606" s="307">
        <f t="shared" ca="1" si="273"/>
        <v>-100.42625668324916</v>
      </c>
      <c r="I606" s="304">
        <f t="shared" ca="1" si="274"/>
        <v>100.56819785081981</v>
      </c>
      <c r="J606" s="306">
        <f t="shared" ca="1" si="275"/>
        <v>711.72888807733182</v>
      </c>
      <c r="K606" s="307">
        <f t="shared" ca="1" si="276"/>
        <v>-9.3258179585629151</v>
      </c>
      <c r="L606" s="304">
        <f t="shared" ca="1" si="261"/>
        <v>711.78998377638845</v>
      </c>
      <c r="M606" s="306">
        <f t="shared" ca="1" si="277"/>
        <v>-1.5176601939781993</v>
      </c>
      <c r="N606" s="304">
        <f t="shared" ca="1" si="278"/>
        <v>-86.955523849956649</v>
      </c>
      <c r="P606" s="310">
        <f t="shared" ca="1" si="279"/>
        <v>23</v>
      </c>
      <c r="Q606" s="304">
        <f t="shared" ca="1" si="280"/>
        <v>0</v>
      </c>
      <c r="R606" s="306">
        <f t="shared" ca="1" si="281"/>
        <v>0</v>
      </c>
      <c r="S606" s="307">
        <f t="shared" ca="1" si="282"/>
        <v>2.6792999999999987</v>
      </c>
      <c r="T606" s="304">
        <f t="shared" ca="1" si="262"/>
        <v>26.283932999999987</v>
      </c>
      <c r="U606" s="311">
        <f t="shared" ca="1" si="263"/>
        <v>0</v>
      </c>
      <c r="V606" s="306">
        <f t="shared" ca="1" si="264"/>
        <v>1.2261429456450752</v>
      </c>
      <c r="W606" s="304">
        <f t="shared" ca="1" si="265"/>
        <v>25.394245208385254</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0.318229277997224</v>
      </c>
      <c r="AH606" s="304">
        <f t="shared" ca="1" si="289"/>
        <v>-9.4779246948269122</v>
      </c>
    </row>
    <row r="607" spans="1:34" x14ac:dyDescent="0.2">
      <c r="A607" s="347">
        <f t="shared" ca="1" si="267"/>
        <v>1E-4</v>
      </c>
      <c r="B607" s="304">
        <f t="shared" ca="1" si="268"/>
        <v>36.608900000000503</v>
      </c>
      <c r="D607" s="306">
        <f t="shared" ca="1" si="269"/>
        <v>-0.50338413197792664</v>
      </c>
      <c r="E607" s="307">
        <f t="shared" ca="1" si="270"/>
        <v>-0.34543687926308841</v>
      </c>
      <c r="F607" s="304">
        <f t="shared" ca="1" si="271"/>
        <v>0.61050980490258488</v>
      </c>
      <c r="G607" s="306">
        <f t="shared" ca="1" si="272"/>
        <v>5.3412404748445068</v>
      </c>
      <c r="H607" s="307">
        <f t="shared" ca="1" si="273"/>
        <v>-100.4262912269371</v>
      </c>
      <c r="I607" s="304">
        <f t="shared" ca="1" si="274"/>
        <v>100.56822967223644</v>
      </c>
      <c r="J607" s="306">
        <f t="shared" ca="1" si="275"/>
        <v>711.72888807733182</v>
      </c>
      <c r="K607" s="307">
        <f t="shared" ca="1" si="276"/>
        <v>-9.3358605859584252</v>
      </c>
      <c r="L607" s="304">
        <f t="shared" ca="1" si="261"/>
        <v>711.79011542495834</v>
      </c>
      <c r="M607" s="306">
        <f t="shared" ca="1" si="277"/>
        <v>-1.5176607120545391</v>
      </c>
      <c r="N607" s="304">
        <f t="shared" ca="1" si="278"/>
        <v>-86.955553533544389</v>
      </c>
      <c r="P607" s="310">
        <f t="shared" ca="1" si="279"/>
        <v>23</v>
      </c>
      <c r="Q607" s="304">
        <f t="shared" ca="1" si="280"/>
        <v>0</v>
      </c>
      <c r="R607" s="306">
        <f t="shared" ca="1" si="281"/>
        <v>0</v>
      </c>
      <c r="S607" s="307">
        <f t="shared" ca="1" si="282"/>
        <v>2.6792999999999987</v>
      </c>
      <c r="T607" s="304">
        <f t="shared" ca="1" si="262"/>
        <v>26.283932999999987</v>
      </c>
      <c r="U607" s="311">
        <f t="shared" ca="1" si="263"/>
        <v>0</v>
      </c>
      <c r="V607" s="306">
        <f t="shared" ca="1" si="264"/>
        <v>1.2261441770156352</v>
      </c>
      <c r="W607" s="304">
        <f t="shared" ca="1" si="265"/>
        <v>25.394286781222554</v>
      </c>
      <c r="Y607" s="314" t="str">
        <f t="shared" ca="1" si="283"/>
        <v/>
      </c>
      <c r="Z607" s="315" t="str">
        <f t="shared" ca="1" si="284"/>
        <v/>
      </c>
      <c r="AA607" s="316" t="str">
        <f t="shared" ca="1" si="285"/>
        <v/>
      </c>
      <c r="AC607" s="310" t="e">
        <f t="shared" ca="1" si="286"/>
        <v>#N/A</v>
      </c>
      <c r="AD607" s="323" t="e">
        <f t="shared" ca="1" si="287"/>
        <v>#N/A</v>
      </c>
      <c r="AE607" s="324" t="e">
        <f t="shared" ca="1" si="266"/>
        <v>#N/A</v>
      </c>
      <c r="AG607" s="306">
        <f t="shared" ca="1" si="288"/>
        <v>0.3182140313634072</v>
      </c>
      <c r="AH607" s="304">
        <f t="shared" ca="1" si="289"/>
        <v>-9.4779402113930011</v>
      </c>
    </row>
    <row r="608" spans="1:34" x14ac:dyDescent="0.2">
      <c r="A608" s="347">
        <f t="shared" ca="1" si="267"/>
        <v>1E-4</v>
      </c>
      <c r="B608" s="304">
        <f t="shared" ca="1" si="268"/>
        <v>36.609000000000506</v>
      </c>
      <c r="D608" s="306">
        <f t="shared" ca="1" si="269"/>
        <v>-0.50338005269215846</v>
      </c>
      <c r="E608" s="307">
        <f t="shared" ca="1" si="270"/>
        <v>-0.3454211240666254</v>
      </c>
      <c r="F608" s="304">
        <f t="shared" ca="1" si="271"/>
        <v>0.61049752693996329</v>
      </c>
      <c r="G608" s="306">
        <f t="shared" ca="1" si="272"/>
        <v>5.3411901368392378</v>
      </c>
      <c r="H608" s="307">
        <f t="shared" ca="1" si="273"/>
        <v>-100.4263257690495</v>
      </c>
      <c r="I608" s="304">
        <f t="shared" ca="1" si="274"/>
        <v>100.56826149212844</v>
      </c>
      <c r="J608" s="306">
        <f t="shared" ca="1" si="275"/>
        <v>711.72888807733182</v>
      </c>
      <c r="K608" s="307">
        <f t="shared" ca="1" si="276"/>
        <v>-9.3459032168082246</v>
      </c>
      <c r="L608" s="304">
        <f t="shared" ca="1" si="261"/>
        <v>711.79024721524047</v>
      </c>
      <c r="M608" s="306">
        <f t="shared" ca="1" si="277"/>
        <v>-1.5176612301256684</v>
      </c>
      <c r="N608" s="304">
        <f t="shared" ca="1" si="278"/>
        <v>-86.955583216833588</v>
      </c>
      <c r="P608" s="310">
        <f t="shared" ca="1" si="279"/>
        <v>23</v>
      </c>
      <c r="Q608" s="304">
        <f t="shared" ca="1" si="280"/>
        <v>0</v>
      </c>
      <c r="R608" s="306">
        <f t="shared" ca="1" si="281"/>
        <v>0</v>
      </c>
      <c r="S608" s="307">
        <f t="shared" ca="1" si="282"/>
        <v>2.6792999999999987</v>
      </c>
      <c r="T608" s="304">
        <f t="shared" ca="1" si="262"/>
        <v>26.283932999999987</v>
      </c>
      <c r="U608" s="311">
        <f t="shared" ca="1" si="263"/>
        <v>0</v>
      </c>
      <c r="V608" s="306">
        <f t="shared" ca="1" si="264"/>
        <v>1.2261454083878556</v>
      </c>
      <c r="W608" s="304">
        <f t="shared" ca="1" si="265"/>
        <v>25.39432835336164</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0.31819878498484044</v>
      </c>
      <c r="AH608" s="304">
        <f t="shared" ca="1" si="289"/>
        <v>-9.4779557276984914</v>
      </c>
    </row>
    <row r="609" spans="1:34" x14ac:dyDescent="0.2">
      <c r="A609" s="347">
        <f t="shared" ca="1" si="267"/>
        <v>1E-4</v>
      </c>
      <c r="B609" s="304">
        <f t="shared" ca="1" si="268"/>
        <v>36.60910000000051</v>
      </c>
      <c r="D609" s="306">
        <f t="shared" ca="1" si="269"/>
        <v>-0.50337597342567553</v>
      </c>
      <c r="E609" s="307">
        <f t="shared" ca="1" si="270"/>
        <v>-0.34540536913469921</v>
      </c>
      <c r="F609" s="304">
        <f t="shared" ca="1" si="271"/>
        <v>0.61048524932984605</v>
      </c>
      <c r="G609" s="306">
        <f t="shared" ca="1" si="272"/>
        <v>5.341139799241895</v>
      </c>
      <c r="H609" s="307">
        <f t="shared" ca="1" si="273"/>
        <v>-100.42636030958641</v>
      </c>
      <c r="I609" s="304">
        <f t="shared" ca="1" si="274"/>
        <v>100.56829331049582</v>
      </c>
      <c r="J609" s="306">
        <f t="shared" ca="1" si="275"/>
        <v>711.72888807733182</v>
      </c>
      <c r="K609" s="307">
        <f t="shared" ca="1" si="276"/>
        <v>-9.3559458511121569</v>
      </c>
      <c r="L609" s="304">
        <f t="shared" ca="1" si="261"/>
        <v>711.79037914723472</v>
      </c>
      <c r="M609" s="306">
        <f t="shared" ca="1" si="277"/>
        <v>-1.5176617481915873</v>
      </c>
      <c r="N609" s="304">
        <f t="shared" ca="1" si="278"/>
        <v>-86.955612899824246</v>
      </c>
      <c r="P609" s="310">
        <f t="shared" ca="1" si="279"/>
        <v>23</v>
      </c>
      <c r="Q609" s="304">
        <f t="shared" ca="1" si="280"/>
        <v>0</v>
      </c>
      <c r="R609" s="306">
        <f t="shared" ca="1" si="281"/>
        <v>0</v>
      </c>
      <c r="S609" s="307">
        <f t="shared" ca="1" si="282"/>
        <v>2.6792999999999987</v>
      </c>
      <c r="T609" s="304">
        <f t="shared" ca="1" si="262"/>
        <v>26.283932999999987</v>
      </c>
      <c r="U609" s="311">
        <f t="shared" ca="1" si="263"/>
        <v>0</v>
      </c>
      <c r="V609" s="306">
        <f t="shared" ca="1" si="264"/>
        <v>1.2261466397617373</v>
      </c>
      <c r="W609" s="304">
        <f t="shared" ca="1" si="265"/>
        <v>25.394369924802543</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0.31818353886152906</v>
      </c>
      <c r="AH609" s="304">
        <f t="shared" ca="1" si="289"/>
        <v>-9.4779712437433847</v>
      </c>
    </row>
    <row r="610" spans="1:34" x14ac:dyDescent="0.2">
      <c r="A610" s="347">
        <f t="shared" ca="1" si="267"/>
        <v>1E-4</v>
      </c>
      <c r="B610" s="304">
        <f t="shared" ca="1" si="268"/>
        <v>36.609200000000513</v>
      </c>
      <c r="D610" s="306">
        <f t="shared" ca="1" si="269"/>
        <v>-0.50337189417847916</v>
      </c>
      <c r="E610" s="307">
        <f t="shared" ca="1" si="270"/>
        <v>-0.34538961446729921</v>
      </c>
      <c r="F610" s="304">
        <f t="shared" ca="1" si="271"/>
        <v>0.61047297207222828</v>
      </c>
      <c r="G610" s="306">
        <f t="shared" ca="1" si="272"/>
        <v>5.3410894620524774</v>
      </c>
      <c r="H610" s="307">
        <f t="shared" ca="1" si="273"/>
        <v>-100.42639484854786</v>
      </c>
      <c r="I610" s="304">
        <f t="shared" ca="1" si="274"/>
        <v>100.56832512733861</v>
      </c>
      <c r="J610" s="306">
        <f t="shared" ca="1" si="275"/>
        <v>711.72888807733182</v>
      </c>
      <c r="K610" s="307">
        <f t="shared" ca="1" si="276"/>
        <v>-9.3659884888700642</v>
      </c>
      <c r="L610" s="304">
        <f t="shared" ca="1" si="261"/>
        <v>711.7905112209412</v>
      </c>
      <c r="M610" s="306">
        <f t="shared" ca="1" si="277"/>
        <v>-1.5176622662522961</v>
      </c>
      <c r="N610" s="304">
        <f t="shared" ca="1" si="278"/>
        <v>-86.95564258251639</v>
      </c>
      <c r="P610" s="310">
        <f t="shared" ca="1" si="279"/>
        <v>23</v>
      </c>
      <c r="Q610" s="304">
        <f t="shared" ca="1" si="280"/>
        <v>0</v>
      </c>
      <c r="R610" s="306">
        <f t="shared" ca="1" si="281"/>
        <v>0</v>
      </c>
      <c r="S610" s="307">
        <f t="shared" ca="1" si="282"/>
        <v>2.6792999999999987</v>
      </c>
      <c r="T610" s="304">
        <f t="shared" ca="1" si="262"/>
        <v>26.283932999999987</v>
      </c>
      <c r="U610" s="311">
        <f t="shared" ca="1" si="263"/>
        <v>0</v>
      </c>
      <c r="V610" s="306">
        <f t="shared" ca="1" si="264"/>
        <v>1.2261478711372795</v>
      </c>
      <c r="W610" s="304">
        <f t="shared" ca="1" si="265"/>
        <v>25.394411495545242</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0.31816829299345528</v>
      </c>
      <c r="AH610" s="304">
        <f t="shared" ca="1" si="289"/>
        <v>-9.4779867595276954</v>
      </c>
    </row>
    <row r="611" spans="1:34" x14ac:dyDescent="0.2">
      <c r="A611" s="347">
        <f t="shared" ca="1" si="267"/>
        <v>1E-4</v>
      </c>
      <c r="B611" s="304">
        <f t="shared" ca="1" si="268"/>
        <v>36.609300000000516</v>
      </c>
      <c r="D611" s="306">
        <f t="shared" ca="1" si="269"/>
        <v>-0.5033678149505656</v>
      </c>
      <c r="E611" s="307">
        <f t="shared" ca="1" si="270"/>
        <v>-0.34537386006443072</v>
      </c>
      <c r="F611" s="304">
        <f t="shared" ca="1" si="271"/>
        <v>0.61046069516711055</v>
      </c>
      <c r="G611" s="306">
        <f t="shared" ca="1" si="272"/>
        <v>5.3410391252709823</v>
      </c>
      <c r="H611" s="307">
        <f t="shared" ca="1" si="273"/>
        <v>-100.42642938593386</v>
      </c>
      <c r="I611" s="304">
        <f t="shared" ca="1" si="274"/>
        <v>100.56835694265685</v>
      </c>
      <c r="J611" s="306">
        <f t="shared" ca="1" si="275"/>
        <v>711.72888807733182</v>
      </c>
      <c r="K611" s="307">
        <f t="shared" ca="1" si="276"/>
        <v>-9.3760311300817882</v>
      </c>
      <c r="L611" s="304">
        <f t="shared" ca="1" si="261"/>
        <v>711.79064343636003</v>
      </c>
      <c r="M611" s="306">
        <f t="shared" ca="1" si="277"/>
        <v>-1.5176627843077946</v>
      </c>
      <c r="N611" s="304">
        <f t="shared" ca="1" si="278"/>
        <v>-86.955672264910007</v>
      </c>
      <c r="P611" s="310">
        <f t="shared" ca="1" si="279"/>
        <v>23</v>
      </c>
      <c r="Q611" s="304">
        <f t="shared" ca="1" si="280"/>
        <v>0</v>
      </c>
      <c r="R611" s="306">
        <f t="shared" ca="1" si="281"/>
        <v>0</v>
      </c>
      <c r="S611" s="307">
        <f t="shared" ca="1" si="282"/>
        <v>2.6792999999999987</v>
      </c>
      <c r="T611" s="304">
        <f t="shared" ca="1" si="262"/>
        <v>26.283932999999987</v>
      </c>
      <c r="U611" s="311">
        <f t="shared" ca="1" si="263"/>
        <v>0</v>
      </c>
      <c r="V611" s="306">
        <f t="shared" ca="1" si="264"/>
        <v>1.2261491025144826</v>
      </c>
      <c r="W611" s="304">
        <f t="shared" ca="1" si="265"/>
        <v>25.394453065589765</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0.31815304738062977</v>
      </c>
      <c r="AH611" s="304">
        <f t="shared" ca="1" si="289"/>
        <v>-9.4780022750514146</v>
      </c>
    </row>
    <row r="612" spans="1:34" x14ac:dyDescent="0.2">
      <c r="A612" s="347">
        <f t="shared" ca="1" si="267"/>
        <v>1E-4</v>
      </c>
      <c r="B612" s="304">
        <f t="shared" ca="1" si="268"/>
        <v>36.60940000000052</v>
      </c>
      <c r="D612" s="306">
        <f t="shared" ca="1" si="269"/>
        <v>-0.50336373574193771</v>
      </c>
      <c r="E612" s="307">
        <f t="shared" ca="1" si="270"/>
        <v>-0.34535810592608662</v>
      </c>
      <c r="F612" s="304">
        <f t="shared" ca="1" si="271"/>
        <v>0.61044841861449139</v>
      </c>
      <c r="G612" s="306">
        <f t="shared" ca="1" si="272"/>
        <v>5.3409887888974081</v>
      </c>
      <c r="H612" s="307">
        <f t="shared" ca="1" si="273"/>
        <v>-100.42646392174446</v>
      </c>
      <c r="I612" s="304">
        <f t="shared" ca="1" si="274"/>
        <v>100.56838875645055</v>
      </c>
      <c r="J612" s="306">
        <f t="shared" ca="1" si="275"/>
        <v>711.72888807733182</v>
      </c>
      <c r="K612" s="307">
        <f t="shared" ca="1" si="276"/>
        <v>-9.3860737747471727</v>
      </c>
      <c r="L612" s="304">
        <f t="shared" ca="1" si="261"/>
        <v>711.79077579349121</v>
      </c>
      <c r="M612" s="306">
        <f t="shared" ca="1" si="277"/>
        <v>-1.5176633023580828</v>
      </c>
      <c r="N612" s="304">
        <f t="shared" ca="1" si="278"/>
        <v>-86.955701947005096</v>
      </c>
      <c r="P612" s="310">
        <f t="shared" ca="1" si="279"/>
        <v>23</v>
      </c>
      <c r="Q612" s="304">
        <f t="shared" ca="1" si="280"/>
        <v>0</v>
      </c>
      <c r="R612" s="306">
        <f t="shared" ca="1" si="281"/>
        <v>0</v>
      </c>
      <c r="S612" s="307">
        <f t="shared" ca="1" si="282"/>
        <v>2.6792999999999987</v>
      </c>
      <c r="T612" s="304">
        <f t="shared" ca="1" si="262"/>
        <v>26.283932999999987</v>
      </c>
      <c r="U612" s="311">
        <f t="shared" ca="1" si="263"/>
        <v>0</v>
      </c>
      <c r="V612" s="306">
        <f t="shared" ca="1" si="264"/>
        <v>1.2261503338933459</v>
      </c>
      <c r="W612" s="304">
        <f t="shared" ca="1" si="265"/>
        <v>25.394494634936109</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0.31813780202304365</v>
      </c>
      <c r="AH612" s="304">
        <f t="shared" ca="1" si="289"/>
        <v>-9.478017790314551</v>
      </c>
    </row>
    <row r="613" spans="1:34" x14ac:dyDescent="0.2">
      <c r="A613" s="347">
        <f t="shared" ca="1" si="267"/>
        <v>1E-4</v>
      </c>
      <c r="B613" s="304">
        <f t="shared" ca="1" si="268"/>
        <v>36.609500000000523</v>
      </c>
      <c r="D613" s="306">
        <f t="shared" ca="1" si="269"/>
        <v>-0.50335965655259651</v>
      </c>
      <c r="E613" s="307">
        <f t="shared" ca="1" si="270"/>
        <v>-0.34534235205226693</v>
      </c>
      <c r="F613" s="304">
        <f t="shared" ca="1" si="271"/>
        <v>0.61043614241437227</v>
      </c>
      <c r="G613" s="306">
        <f t="shared" ca="1" si="272"/>
        <v>5.340938452931753</v>
      </c>
      <c r="H613" s="307">
        <f t="shared" ca="1" si="273"/>
        <v>-100.42649845597967</v>
      </c>
      <c r="I613" s="304">
        <f t="shared" ca="1" si="274"/>
        <v>100.56842056871974</v>
      </c>
      <c r="J613" s="306">
        <f t="shared" ca="1" si="275"/>
        <v>711.72888807733182</v>
      </c>
      <c r="K613" s="307">
        <f t="shared" ca="1" si="276"/>
        <v>-9.3961164228660596</v>
      </c>
      <c r="L613" s="304">
        <f t="shared" ca="1" si="261"/>
        <v>711.79090829233496</v>
      </c>
      <c r="M613" s="306">
        <f t="shared" ca="1" si="277"/>
        <v>-1.5176638204031612</v>
      </c>
      <c r="N613" s="304">
        <f t="shared" ca="1" si="278"/>
        <v>-86.955731628801686</v>
      </c>
      <c r="P613" s="310">
        <f t="shared" ca="1" si="279"/>
        <v>23</v>
      </c>
      <c r="Q613" s="304">
        <f t="shared" ca="1" si="280"/>
        <v>0</v>
      </c>
      <c r="R613" s="306">
        <f t="shared" ca="1" si="281"/>
        <v>0</v>
      </c>
      <c r="S613" s="307">
        <f t="shared" ca="1" si="282"/>
        <v>2.6792999999999987</v>
      </c>
      <c r="T613" s="304">
        <f t="shared" ca="1" si="262"/>
        <v>26.283932999999987</v>
      </c>
      <c r="U613" s="311">
        <f t="shared" ca="1" si="263"/>
        <v>0</v>
      </c>
      <c r="V613" s="306">
        <f t="shared" ca="1" si="264"/>
        <v>1.2261515652738704</v>
      </c>
      <c r="W613" s="304">
        <f t="shared" ca="1" si="265"/>
        <v>25.394536203584309</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0.31812255692069513</v>
      </c>
      <c r="AH613" s="304">
        <f t="shared" ca="1" si="289"/>
        <v>-9.4780333053171049</v>
      </c>
    </row>
    <row r="614" spans="1:34" x14ac:dyDescent="0.2">
      <c r="A614" s="347">
        <f t="shared" ca="1" si="267"/>
        <v>1E-4</v>
      </c>
      <c r="B614" s="304">
        <f t="shared" ca="1" si="268"/>
        <v>36.609600000000526</v>
      </c>
      <c r="D614" s="306">
        <f t="shared" ca="1" si="269"/>
        <v>-0.50335557738253889</v>
      </c>
      <c r="E614" s="307">
        <f t="shared" ca="1" si="270"/>
        <v>-0.34532659844295566</v>
      </c>
      <c r="F614" s="304">
        <f t="shared" ca="1" si="271"/>
        <v>0.61042386656674186</v>
      </c>
      <c r="G614" s="306">
        <f t="shared" ca="1" si="272"/>
        <v>5.340888117374015</v>
      </c>
      <c r="H614" s="307">
        <f t="shared" ca="1" si="273"/>
        <v>-100.42653298863951</v>
      </c>
      <c r="I614" s="304">
        <f t="shared" ca="1" si="274"/>
        <v>100.56845237946445</v>
      </c>
      <c r="J614" s="306">
        <f t="shared" ca="1" si="275"/>
        <v>711.72888807733182</v>
      </c>
      <c r="K614" s="307">
        <f t="shared" ca="1" si="276"/>
        <v>-9.4061590744382908</v>
      </c>
      <c r="L614" s="304">
        <f t="shared" ca="1" si="261"/>
        <v>711.79104093289118</v>
      </c>
      <c r="M614" s="306">
        <f t="shared" ca="1" si="277"/>
        <v>-1.5176643384430293</v>
      </c>
      <c r="N614" s="304">
        <f t="shared" ca="1" si="278"/>
        <v>-86.955761310299749</v>
      </c>
      <c r="P614" s="310">
        <f t="shared" ca="1" si="279"/>
        <v>23</v>
      </c>
      <c r="Q614" s="304">
        <f t="shared" ca="1" si="280"/>
        <v>0</v>
      </c>
      <c r="R614" s="306">
        <f t="shared" ca="1" si="281"/>
        <v>0</v>
      </c>
      <c r="S614" s="307">
        <f t="shared" ca="1" si="282"/>
        <v>2.6792999999999987</v>
      </c>
      <c r="T614" s="304">
        <f t="shared" ca="1" si="262"/>
        <v>26.283932999999987</v>
      </c>
      <c r="U614" s="311">
        <f t="shared" ca="1" si="263"/>
        <v>0</v>
      </c>
      <c r="V614" s="306">
        <f t="shared" ca="1" si="264"/>
        <v>1.226152796656055</v>
      </c>
      <c r="W614" s="304">
        <f t="shared" ca="1" si="265"/>
        <v>25.394577771534337</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0.31810731207357357</v>
      </c>
      <c r="AH614" s="304">
        <f t="shared" ca="1" si="289"/>
        <v>-9.4780488200590902</v>
      </c>
    </row>
    <row r="615" spans="1:34" x14ac:dyDescent="0.2">
      <c r="A615" s="347">
        <f t="shared" ca="1" si="267"/>
        <v>1E-4</v>
      </c>
      <c r="B615" s="304">
        <f t="shared" ca="1" si="268"/>
        <v>36.609700000000529</v>
      </c>
      <c r="D615" s="306">
        <f t="shared" ca="1" si="269"/>
        <v>-0.50335149823176917</v>
      </c>
      <c r="E615" s="307">
        <f t="shared" ca="1" si="270"/>
        <v>-0.34531084509816701</v>
      </c>
      <c r="F615" s="304">
        <f t="shared" ca="1" si="271"/>
        <v>0.61041159107161214</v>
      </c>
      <c r="G615" s="306">
        <f t="shared" ca="1" si="272"/>
        <v>5.3408377822241917</v>
      </c>
      <c r="H615" s="307">
        <f t="shared" ca="1" si="273"/>
        <v>-100.42656751972402</v>
      </c>
      <c r="I615" s="304">
        <f t="shared" ca="1" si="274"/>
        <v>100.56848418868468</v>
      </c>
      <c r="J615" s="306">
        <f t="shared" ca="1" si="275"/>
        <v>711.72888807733182</v>
      </c>
      <c r="K615" s="307">
        <f t="shared" ca="1" si="276"/>
        <v>-9.4162017294637081</v>
      </c>
      <c r="L615" s="304">
        <f t="shared" ca="1" si="261"/>
        <v>711.79117371515997</v>
      </c>
      <c r="M615" s="306">
        <f t="shared" ca="1" si="277"/>
        <v>-1.5176648564776876</v>
      </c>
      <c r="N615" s="304">
        <f t="shared" ca="1" si="278"/>
        <v>-86.955790991499313</v>
      </c>
      <c r="P615" s="310">
        <f t="shared" ca="1" si="279"/>
        <v>23</v>
      </c>
      <c r="Q615" s="304">
        <f t="shared" ca="1" si="280"/>
        <v>0</v>
      </c>
      <c r="R615" s="306">
        <f t="shared" ca="1" si="281"/>
        <v>0</v>
      </c>
      <c r="S615" s="307">
        <f t="shared" ca="1" si="282"/>
        <v>2.6792999999999987</v>
      </c>
      <c r="T615" s="304">
        <f t="shared" ca="1" si="262"/>
        <v>26.283932999999987</v>
      </c>
      <c r="U615" s="311">
        <f t="shared" ca="1" si="263"/>
        <v>0</v>
      </c>
      <c r="V615" s="306">
        <f t="shared" ca="1" si="264"/>
        <v>1.2261540280399006</v>
      </c>
      <c r="W615" s="304">
        <f t="shared" ca="1" si="265"/>
        <v>25.394619338786221</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0.31809206748168783</v>
      </c>
      <c r="AH615" s="304">
        <f t="shared" ca="1" si="289"/>
        <v>-9.4780643345404947</v>
      </c>
    </row>
    <row r="616" spans="1:34" x14ac:dyDescent="0.2">
      <c r="A616" s="347">
        <f t="shared" ca="1" si="267"/>
        <v>1E-4</v>
      </c>
      <c r="B616" s="304">
        <f t="shared" ca="1" si="268"/>
        <v>36.609800000000533</v>
      </c>
      <c r="D616" s="306">
        <f t="shared" ca="1" si="269"/>
        <v>-0.50334741910028458</v>
      </c>
      <c r="E616" s="307">
        <f t="shared" ca="1" si="270"/>
        <v>-0.34529509201788855</v>
      </c>
      <c r="F616" s="304">
        <f t="shared" ca="1" si="271"/>
        <v>0.61039931592897423</v>
      </c>
      <c r="G616" s="306">
        <f t="shared" ca="1" si="272"/>
        <v>5.3407874474822821</v>
      </c>
      <c r="H616" s="307">
        <f t="shared" ca="1" si="273"/>
        <v>-100.42660204923322</v>
      </c>
      <c r="I616" s="304">
        <f t="shared" ca="1" si="274"/>
        <v>100.5685159963805</v>
      </c>
      <c r="J616" s="306">
        <f t="shared" ca="1" si="275"/>
        <v>711.72888807733182</v>
      </c>
      <c r="K616" s="307">
        <f t="shared" ca="1" si="276"/>
        <v>-9.4262443879421554</v>
      </c>
      <c r="L616" s="304">
        <f t="shared" ca="1" si="261"/>
        <v>711.79130663914145</v>
      </c>
      <c r="M616" s="306">
        <f t="shared" ca="1" si="277"/>
        <v>-1.5176653745071358</v>
      </c>
      <c r="N616" s="304">
        <f t="shared" ca="1" si="278"/>
        <v>-86.955820672400364</v>
      </c>
      <c r="P616" s="310">
        <f t="shared" ca="1" si="279"/>
        <v>23</v>
      </c>
      <c r="Q616" s="304">
        <f t="shared" ca="1" si="280"/>
        <v>0</v>
      </c>
      <c r="R616" s="306">
        <f t="shared" ca="1" si="281"/>
        <v>0</v>
      </c>
      <c r="S616" s="307">
        <f t="shared" ca="1" si="282"/>
        <v>2.6792999999999987</v>
      </c>
      <c r="T616" s="304">
        <f t="shared" ca="1" si="262"/>
        <v>26.283932999999987</v>
      </c>
      <c r="U616" s="311">
        <f t="shared" ca="1" si="263"/>
        <v>0</v>
      </c>
      <c r="V616" s="306">
        <f t="shared" ca="1" si="264"/>
        <v>1.2261552594254066</v>
      </c>
      <c r="W616" s="304">
        <f t="shared" ca="1" si="265"/>
        <v>25.394660905339986</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0.31807682314502905</v>
      </c>
      <c r="AH616" s="304">
        <f t="shared" ca="1" si="289"/>
        <v>-9.4780798487613307</v>
      </c>
    </row>
    <row r="617" spans="1:34" x14ac:dyDescent="0.2">
      <c r="A617" s="347">
        <f t="shared" ca="1" si="267"/>
        <v>1E-4</v>
      </c>
      <c r="B617" s="304">
        <f t="shared" ca="1" si="268"/>
        <v>36.609900000000536</v>
      </c>
      <c r="D617" s="306">
        <f t="shared" ca="1" si="269"/>
        <v>-0.50334333998808811</v>
      </c>
      <c r="E617" s="307">
        <f t="shared" ca="1" si="270"/>
        <v>-0.3452793392021114</v>
      </c>
      <c r="F617" s="304">
        <f t="shared" ca="1" si="271"/>
        <v>0.61038704113882591</v>
      </c>
      <c r="G617" s="306">
        <f t="shared" ca="1" si="272"/>
        <v>5.3407371131482835</v>
      </c>
      <c r="H617" s="307">
        <f t="shared" ca="1" si="273"/>
        <v>-100.42663657716714</v>
      </c>
      <c r="I617" s="304">
        <f t="shared" ca="1" si="274"/>
        <v>100.5685478025519</v>
      </c>
      <c r="J617" s="306">
        <f t="shared" ca="1" si="275"/>
        <v>711.72888807733182</v>
      </c>
      <c r="K617" s="307">
        <f t="shared" ca="1" si="276"/>
        <v>-9.4362870498734761</v>
      </c>
      <c r="L617" s="304">
        <f t="shared" ca="1" si="261"/>
        <v>711.79143970483574</v>
      </c>
      <c r="M617" s="306">
        <f t="shared" ca="1" si="277"/>
        <v>-1.5176658925313744</v>
      </c>
      <c r="N617" s="304">
        <f t="shared" ca="1" si="278"/>
        <v>-86.955850353002916</v>
      </c>
      <c r="P617" s="310">
        <f t="shared" ca="1" si="279"/>
        <v>23</v>
      </c>
      <c r="Q617" s="304">
        <f t="shared" ca="1" si="280"/>
        <v>0</v>
      </c>
      <c r="R617" s="306">
        <f t="shared" ca="1" si="281"/>
        <v>0</v>
      </c>
      <c r="S617" s="307">
        <f t="shared" ca="1" si="282"/>
        <v>2.6792999999999987</v>
      </c>
      <c r="T617" s="304">
        <f t="shared" ca="1" si="262"/>
        <v>26.283932999999987</v>
      </c>
      <c r="U617" s="311">
        <f t="shared" ca="1" si="263"/>
        <v>0</v>
      </c>
      <c r="V617" s="306">
        <f t="shared" ca="1" si="264"/>
        <v>1.2261564908125735</v>
      </c>
      <c r="W617" s="304">
        <f t="shared" ca="1" si="265"/>
        <v>25.394702471195625</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0.31806157906358656</v>
      </c>
      <c r="AH617" s="304">
        <f t="shared" ca="1" si="289"/>
        <v>-9.4780953627216054</v>
      </c>
    </row>
    <row r="618" spans="1:34" x14ac:dyDescent="0.2">
      <c r="A618" s="347">
        <f t="shared" ca="1" si="267"/>
        <v>1E-4</v>
      </c>
      <c r="B618" s="304">
        <f t="shared" ca="1" si="268"/>
        <v>36.610000000000539</v>
      </c>
      <c r="D618" s="306">
        <f t="shared" ca="1" si="269"/>
        <v>-0.50333926089517611</v>
      </c>
      <c r="E618" s="307">
        <f t="shared" ca="1" si="270"/>
        <v>-0.34526358665083556</v>
      </c>
      <c r="F618" s="304">
        <f t="shared" ca="1" si="271"/>
        <v>0.61037476670116464</v>
      </c>
      <c r="G618" s="306">
        <f t="shared" ca="1" si="272"/>
        <v>5.3406867792221941</v>
      </c>
      <c r="H618" s="307">
        <f t="shared" ca="1" si="273"/>
        <v>-100.42667110352581</v>
      </c>
      <c r="I618" s="304">
        <f t="shared" ca="1" si="274"/>
        <v>100.56857960719891</v>
      </c>
      <c r="J618" s="306">
        <f t="shared" ca="1" si="275"/>
        <v>711.72888807733182</v>
      </c>
      <c r="K618" s="307">
        <f t="shared" ca="1" si="276"/>
        <v>-9.4463297152575105</v>
      </c>
      <c r="L618" s="304">
        <f t="shared" ca="1" si="261"/>
        <v>711.79157291224271</v>
      </c>
      <c r="M618" s="306">
        <f t="shared" ca="1" si="277"/>
        <v>-1.517666410550403</v>
      </c>
      <c r="N618" s="304">
        <f t="shared" ca="1" si="278"/>
        <v>-86.955880033306968</v>
      </c>
      <c r="P618" s="310">
        <f t="shared" ca="1" si="279"/>
        <v>23</v>
      </c>
      <c r="Q618" s="304">
        <f t="shared" ca="1" si="280"/>
        <v>0</v>
      </c>
      <c r="R618" s="306">
        <f t="shared" ca="1" si="281"/>
        <v>0</v>
      </c>
      <c r="S618" s="307">
        <f t="shared" ca="1" si="282"/>
        <v>2.6792999999999987</v>
      </c>
      <c r="T618" s="304">
        <f t="shared" ca="1" si="262"/>
        <v>26.283932999999987</v>
      </c>
      <c r="U618" s="311">
        <f t="shared" ca="1" si="263"/>
        <v>0</v>
      </c>
      <c r="V618" s="306">
        <f t="shared" ca="1" si="264"/>
        <v>1.2261577222014008</v>
      </c>
      <c r="W618" s="304">
        <f t="shared" ca="1" si="265"/>
        <v>25.394744036353138</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0.31804633523736392</v>
      </c>
      <c r="AH618" s="304">
        <f t="shared" ca="1" si="289"/>
        <v>-9.4781108764213187</v>
      </c>
    </row>
    <row r="619" spans="1:34" x14ac:dyDescent="0.2">
      <c r="A619" s="347">
        <f t="shared" ca="1" si="267"/>
        <v>1E-4</v>
      </c>
      <c r="B619" s="304">
        <f t="shared" ca="1" si="268"/>
        <v>36.610100000000543</v>
      </c>
      <c r="D619" s="306">
        <f t="shared" ca="1" si="269"/>
        <v>-0.50333518182155357</v>
      </c>
      <c r="E619" s="307">
        <f t="shared" ca="1" si="270"/>
        <v>-0.34524783436406814</v>
      </c>
      <c r="F619" s="304">
        <f t="shared" ca="1" si="271"/>
        <v>0.61036249261599895</v>
      </c>
      <c r="G619" s="306">
        <f t="shared" ca="1" si="272"/>
        <v>5.3406364457040123</v>
      </c>
      <c r="H619" s="307">
        <f t="shared" ca="1" si="273"/>
        <v>-100.42670562830924</v>
      </c>
      <c r="I619" s="304">
        <f t="shared" ca="1" si="274"/>
        <v>100.56861141032157</v>
      </c>
      <c r="J619" s="306">
        <f t="shared" ca="1" si="275"/>
        <v>711.72888807733182</v>
      </c>
      <c r="K619" s="307">
        <f t="shared" ca="1" si="276"/>
        <v>-9.4563723840941023</v>
      </c>
      <c r="L619" s="304">
        <f t="shared" ca="1" si="261"/>
        <v>711.79170626136249</v>
      </c>
      <c r="M619" s="306">
        <f t="shared" ca="1" si="277"/>
        <v>-1.5176669285642219</v>
      </c>
      <c r="N619" s="304">
        <f t="shared" ca="1" si="278"/>
        <v>-86.955909713312522</v>
      </c>
      <c r="P619" s="310">
        <f t="shared" ca="1" si="279"/>
        <v>23</v>
      </c>
      <c r="Q619" s="304">
        <f t="shared" ca="1" si="280"/>
        <v>0</v>
      </c>
      <c r="R619" s="306">
        <f t="shared" ca="1" si="281"/>
        <v>0</v>
      </c>
      <c r="S619" s="307">
        <f t="shared" ca="1" si="282"/>
        <v>2.6792999999999987</v>
      </c>
      <c r="T619" s="304">
        <f t="shared" ca="1" si="262"/>
        <v>26.283932999999987</v>
      </c>
      <c r="U619" s="311">
        <f t="shared" ca="1" si="263"/>
        <v>0</v>
      </c>
      <c r="V619" s="306">
        <f t="shared" ca="1" si="264"/>
        <v>1.2261589535918889</v>
      </c>
      <c r="W619" s="304">
        <f t="shared" ca="1" si="265"/>
        <v>25.394785600812558</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0.3180310916663629</v>
      </c>
      <c r="AH619" s="304">
        <f t="shared" ca="1" si="289"/>
        <v>-9.4781263898604671</v>
      </c>
    </row>
    <row r="620" spans="1:34" x14ac:dyDescent="0.2">
      <c r="A620" s="347">
        <f t="shared" ca="1" si="267"/>
        <v>1E-4</v>
      </c>
      <c r="B620" s="304">
        <f t="shared" ca="1" si="268"/>
        <v>36.610200000000546</v>
      </c>
      <c r="D620" s="306">
        <f t="shared" ca="1" si="269"/>
        <v>-0.50333110276721749</v>
      </c>
      <c r="E620" s="307">
        <f t="shared" ca="1" si="270"/>
        <v>-0.34523208234178959</v>
      </c>
      <c r="F620" s="304">
        <f t="shared" ca="1" si="271"/>
        <v>0.61035021888331575</v>
      </c>
      <c r="G620" s="306">
        <f t="shared" ca="1" si="272"/>
        <v>5.3405861125937353</v>
      </c>
      <c r="H620" s="307">
        <f t="shared" ca="1" si="273"/>
        <v>-100.42674015151746</v>
      </c>
      <c r="I620" s="304">
        <f t="shared" ca="1" si="274"/>
        <v>100.56864321191988</v>
      </c>
      <c r="J620" s="306">
        <f t="shared" ca="1" si="275"/>
        <v>711.72888807733182</v>
      </c>
      <c r="K620" s="307">
        <f t="shared" ca="1" si="276"/>
        <v>-9.4664150563830933</v>
      </c>
      <c r="L620" s="304">
        <f t="shared" ca="1" si="261"/>
        <v>711.7918397521953</v>
      </c>
      <c r="M620" s="306">
        <f t="shared" ca="1" si="277"/>
        <v>-1.5176674465728313</v>
      </c>
      <c r="N620" s="304">
        <f t="shared" ca="1" si="278"/>
        <v>-86.955939393019591</v>
      </c>
      <c r="P620" s="310">
        <f t="shared" ca="1" si="279"/>
        <v>23</v>
      </c>
      <c r="Q620" s="304">
        <f t="shared" ca="1" si="280"/>
        <v>0</v>
      </c>
      <c r="R620" s="306">
        <f t="shared" ca="1" si="281"/>
        <v>0</v>
      </c>
      <c r="S620" s="307">
        <f t="shared" ca="1" si="282"/>
        <v>2.6792999999999987</v>
      </c>
      <c r="T620" s="304">
        <f t="shared" ca="1" si="262"/>
        <v>26.283932999999987</v>
      </c>
      <c r="U620" s="311">
        <f t="shared" ca="1" si="263"/>
        <v>0</v>
      </c>
      <c r="V620" s="306">
        <f t="shared" ca="1" si="264"/>
        <v>1.2261601849840371</v>
      </c>
      <c r="W620" s="304">
        <f t="shared" ca="1" si="265"/>
        <v>25.394827164573869</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0.31801584835056751</v>
      </c>
      <c r="AH620" s="304">
        <f t="shared" ca="1" si="289"/>
        <v>-9.4781419030390666</v>
      </c>
    </row>
    <row r="621" spans="1:34" x14ac:dyDescent="0.2">
      <c r="A621" s="347">
        <f t="shared" ca="1" si="267"/>
        <v>1E-4</v>
      </c>
      <c r="B621" s="304">
        <f t="shared" ca="1" si="268"/>
        <v>36.610300000000549</v>
      </c>
      <c r="D621" s="306">
        <f t="shared" ca="1" si="269"/>
        <v>-0.50332702373216809</v>
      </c>
      <c r="E621" s="307">
        <f t="shared" ca="1" si="270"/>
        <v>-0.3452163305840088</v>
      </c>
      <c r="F621" s="304">
        <f t="shared" ca="1" si="271"/>
        <v>0.61033794550312059</v>
      </c>
      <c r="G621" s="306">
        <f t="shared" ca="1" si="272"/>
        <v>5.3405357798913622</v>
      </c>
      <c r="H621" s="307">
        <f t="shared" ca="1" si="273"/>
        <v>-100.42677467315052</v>
      </c>
      <c r="I621" s="304">
        <f t="shared" ca="1" si="274"/>
        <v>100.5686750119939</v>
      </c>
      <c r="J621" s="306">
        <f t="shared" ca="1" si="275"/>
        <v>711.72888807733182</v>
      </c>
      <c r="K621" s="307">
        <f t="shared" ca="1" si="276"/>
        <v>-9.4764577321243273</v>
      </c>
      <c r="L621" s="304">
        <f t="shared" ca="1" si="261"/>
        <v>711.79197338474103</v>
      </c>
      <c r="M621" s="306">
        <f t="shared" ca="1" si="277"/>
        <v>-1.517667964576231</v>
      </c>
      <c r="N621" s="304">
        <f t="shared" ca="1" si="278"/>
        <v>-86.955969072428161</v>
      </c>
      <c r="P621" s="310">
        <f t="shared" ca="1" si="279"/>
        <v>23</v>
      </c>
      <c r="Q621" s="304">
        <f t="shared" ca="1" si="280"/>
        <v>0</v>
      </c>
      <c r="R621" s="306">
        <f t="shared" ca="1" si="281"/>
        <v>0</v>
      </c>
      <c r="S621" s="307">
        <f t="shared" ca="1" si="282"/>
        <v>2.6792999999999987</v>
      </c>
      <c r="T621" s="304">
        <f t="shared" ca="1" si="262"/>
        <v>26.283932999999987</v>
      </c>
      <c r="U621" s="311">
        <f t="shared" ca="1" si="263"/>
        <v>0</v>
      </c>
      <c r="V621" s="306">
        <f t="shared" ca="1" si="264"/>
        <v>1.2261614163778463</v>
      </c>
      <c r="W621" s="304">
        <f t="shared" ca="1" si="265"/>
        <v>25.394868727637107</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0.31800060528998841</v>
      </c>
      <c r="AH621" s="304">
        <f t="shared" ca="1" si="289"/>
        <v>-9.4781574159571083</v>
      </c>
    </row>
    <row r="622" spans="1:34" x14ac:dyDescent="0.2">
      <c r="A622" s="347">
        <f t="shared" ca="1" si="267"/>
        <v>1E-4</v>
      </c>
      <c r="B622" s="304">
        <f t="shared" ca="1" si="268"/>
        <v>36.610400000000553</v>
      </c>
      <c r="D622" s="306">
        <f t="shared" ca="1" si="269"/>
        <v>-0.50332294471640704</v>
      </c>
      <c r="E622" s="307">
        <f t="shared" ca="1" si="270"/>
        <v>-0.34520057909071156</v>
      </c>
      <c r="F622" s="304">
        <f t="shared" ca="1" si="271"/>
        <v>0.61032567247540714</v>
      </c>
      <c r="G622" s="306">
        <f t="shared" ca="1" si="272"/>
        <v>5.3404854475968904</v>
      </c>
      <c r="H622" s="307">
        <f t="shared" ca="1" si="273"/>
        <v>-100.42680919320843</v>
      </c>
      <c r="I622" s="304">
        <f t="shared" ca="1" si="274"/>
        <v>100.56870681054363</v>
      </c>
      <c r="J622" s="306">
        <f t="shared" ca="1" si="275"/>
        <v>711.72888807733182</v>
      </c>
      <c r="K622" s="307">
        <f t="shared" ca="1" si="276"/>
        <v>-9.4865004113176461</v>
      </c>
      <c r="L622" s="304">
        <f t="shared" ca="1" si="261"/>
        <v>711.79210715899978</v>
      </c>
      <c r="M622" s="306">
        <f t="shared" ca="1" si="277"/>
        <v>-1.5176684825744213</v>
      </c>
      <c r="N622" s="304">
        <f t="shared" ca="1" si="278"/>
        <v>-86.95599875153826</v>
      </c>
      <c r="P622" s="310">
        <f t="shared" ca="1" si="279"/>
        <v>23</v>
      </c>
      <c r="Q622" s="304">
        <f t="shared" ca="1" si="280"/>
        <v>0</v>
      </c>
      <c r="R622" s="306">
        <f t="shared" ca="1" si="281"/>
        <v>0</v>
      </c>
      <c r="S622" s="307">
        <f t="shared" ca="1" si="282"/>
        <v>2.6792999999999987</v>
      </c>
      <c r="T622" s="304">
        <f t="shared" ca="1" si="262"/>
        <v>26.283932999999987</v>
      </c>
      <c r="U622" s="311">
        <f t="shared" ca="1" si="263"/>
        <v>0</v>
      </c>
      <c r="V622" s="306">
        <f t="shared" ca="1" si="264"/>
        <v>1.2261626477733154</v>
      </c>
      <c r="W622" s="304">
        <f t="shared" ca="1" si="265"/>
        <v>25.394910290002255</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0.31798536248460785</v>
      </c>
      <c r="AH622" s="304">
        <f t="shared" ca="1" si="289"/>
        <v>-9.4781729286146081</v>
      </c>
    </row>
    <row r="623" spans="1:34" x14ac:dyDescent="0.2">
      <c r="A623" s="347">
        <f t="shared" ca="1" si="267"/>
        <v>1E-4</v>
      </c>
      <c r="B623" s="304">
        <f t="shared" ca="1" si="268"/>
        <v>36.610500000000556</v>
      </c>
      <c r="D623" s="306">
        <f t="shared" ca="1" si="269"/>
        <v>-0.50331886571993223</v>
      </c>
      <c r="E623" s="307">
        <f t="shared" ca="1" si="270"/>
        <v>-0.34518482786190496</v>
      </c>
      <c r="F623" s="304">
        <f t="shared" ca="1" si="271"/>
        <v>0.61031339980017818</v>
      </c>
      <c r="G623" s="306">
        <f t="shared" ca="1" si="272"/>
        <v>5.340435115710318</v>
      </c>
      <c r="H623" s="307">
        <f t="shared" ca="1" si="273"/>
        <v>-100.42684371169122</v>
      </c>
      <c r="I623" s="304">
        <f t="shared" ca="1" si="274"/>
        <v>100.56873860756913</v>
      </c>
      <c r="J623" s="306">
        <f t="shared" ca="1" si="275"/>
        <v>711.72888807733182</v>
      </c>
      <c r="K623" s="307">
        <f t="shared" ca="1" si="276"/>
        <v>-9.4965430939628916</v>
      </c>
      <c r="L623" s="304">
        <f t="shared" ca="1" si="261"/>
        <v>711.79224107497168</v>
      </c>
      <c r="M623" s="306">
        <f t="shared" ca="1" si="277"/>
        <v>-1.5176690005674021</v>
      </c>
      <c r="N623" s="304">
        <f t="shared" ca="1" si="278"/>
        <v>-86.956028430349875</v>
      </c>
      <c r="P623" s="310">
        <f t="shared" ca="1" si="279"/>
        <v>23</v>
      </c>
      <c r="Q623" s="304">
        <f t="shared" ca="1" si="280"/>
        <v>0</v>
      </c>
      <c r="R623" s="306">
        <f t="shared" ca="1" si="281"/>
        <v>0</v>
      </c>
      <c r="S623" s="307">
        <f t="shared" ca="1" si="282"/>
        <v>2.6792999999999987</v>
      </c>
      <c r="T623" s="304">
        <f t="shared" ca="1" si="262"/>
        <v>26.283932999999987</v>
      </c>
      <c r="U623" s="311">
        <f t="shared" ca="1" si="263"/>
        <v>0</v>
      </c>
      <c r="V623" s="306">
        <f t="shared" ca="1" si="264"/>
        <v>1.2261638791704454</v>
      </c>
      <c r="W623" s="304">
        <f t="shared" ca="1" si="265"/>
        <v>25.394951851669354</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0.31797011993443647</v>
      </c>
      <c r="AH623" s="304">
        <f t="shared" ca="1" si="289"/>
        <v>-9.4781884410115573</v>
      </c>
    </row>
    <row r="624" spans="1:34" x14ac:dyDescent="0.2">
      <c r="A624" s="347">
        <f t="shared" ca="1" si="267"/>
        <v>1E-4</v>
      </c>
      <c r="B624" s="304">
        <f t="shared" ca="1" si="268"/>
        <v>36.610600000000559</v>
      </c>
      <c r="D624" s="306">
        <f t="shared" ca="1" si="269"/>
        <v>-0.50331478674274743</v>
      </c>
      <c r="E624" s="307">
        <f t="shared" ca="1" si="270"/>
        <v>-0.34516907689757126</v>
      </c>
      <c r="F624" s="304">
        <f t="shared" ca="1" si="271"/>
        <v>0.61030112747742715</v>
      </c>
      <c r="G624" s="306">
        <f t="shared" ca="1" si="272"/>
        <v>5.3403847842316434</v>
      </c>
      <c r="H624" s="307">
        <f t="shared" ca="1" si="273"/>
        <v>-100.42687822859891</v>
      </c>
      <c r="I624" s="304">
        <f t="shared" ca="1" si="274"/>
        <v>100.56877040307039</v>
      </c>
      <c r="J624" s="306">
        <f t="shared" ca="1" si="275"/>
        <v>711.72888807733182</v>
      </c>
      <c r="K624" s="307">
        <f t="shared" ca="1" si="276"/>
        <v>-9.5065857800599058</v>
      </c>
      <c r="L624" s="304">
        <f t="shared" ca="1" si="261"/>
        <v>711.79237513265673</v>
      </c>
      <c r="M624" s="306">
        <f t="shared" ca="1" si="277"/>
        <v>-1.5176695185551734</v>
      </c>
      <c r="N624" s="304">
        <f t="shared" ca="1" si="278"/>
        <v>-86.956058108863019</v>
      </c>
      <c r="P624" s="310">
        <f t="shared" ca="1" si="279"/>
        <v>23</v>
      </c>
      <c r="Q624" s="304">
        <f t="shared" ca="1" si="280"/>
        <v>0</v>
      </c>
      <c r="R624" s="306">
        <f t="shared" ca="1" si="281"/>
        <v>0</v>
      </c>
      <c r="S624" s="307">
        <f t="shared" ca="1" si="282"/>
        <v>2.6792999999999987</v>
      </c>
      <c r="T624" s="304">
        <f t="shared" ca="1" si="262"/>
        <v>26.283932999999987</v>
      </c>
      <c r="U624" s="311">
        <f t="shared" ca="1" si="263"/>
        <v>0</v>
      </c>
      <c r="V624" s="306">
        <f t="shared" ca="1" si="264"/>
        <v>1.2261651105692357</v>
      </c>
      <c r="W624" s="304">
        <f t="shared" ca="1" si="265"/>
        <v>25.394993412638389</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0.31795487763945474</v>
      </c>
      <c r="AH624" s="304">
        <f t="shared" ca="1" si="289"/>
        <v>-9.4782039531479736</v>
      </c>
    </row>
    <row r="625" spans="1:34" x14ac:dyDescent="0.2">
      <c r="A625" s="347">
        <f t="shared" ca="1" si="267"/>
        <v>1E-4</v>
      </c>
      <c r="B625" s="304">
        <f t="shared" ca="1" si="268"/>
        <v>36.610700000000563</v>
      </c>
      <c r="D625" s="306">
        <f t="shared" ca="1" si="269"/>
        <v>-0.50331070778485087</v>
      </c>
      <c r="E625" s="307">
        <f t="shared" ca="1" si="270"/>
        <v>-0.34515332619771932</v>
      </c>
      <c r="F625" s="304">
        <f t="shared" ca="1" si="271"/>
        <v>0.61028885550715806</v>
      </c>
      <c r="G625" s="306">
        <f t="shared" ca="1" si="272"/>
        <v>5.3403344531608647</v>
      </c>
      <c r="H625" s="307">
        <f t="shared" ca="1" si="273"/>
        <v>-100.42691274393152</v>
      </c>
      <c r="I625" s="304">
        <f t="shared" ca="1" si="274"/>
        <v>100.56880219704743</v>
      </c>
      <c r="J625" s="306">
        <f t="shared" ca="1" si="275"/>
        <v>711.72888807733182</v>
      </c>
      <c r="K625" s="307">
        <f t="shared" ca="1" si="276"/>
        <v>-9.5166284696085324</v>
      </c>
      <c r="L625" s="304">
        <f t="shared" ca="1" si="261"/>
        <v>711.79250933205503</v>
      </c>
      <c r="M625" s="306">
        <f t="shared" ca="1" si="277"/>
        <v>-1.5176700365377354</v>
      </c>
      <c r="N625" s="304">
        <f t="shared" ca="1" si="278"/>
        <v>-86.956087787077678</v>
      </c>
      <c r="P625" s="310">
        <f t="shared" ca="1" si="279"/>
        <v>23</v>
      </c>
      <c r="Q625" s="304">
        <f t="shared" ca="1" si="280"/>
        <v>0</v>
      </c>
      <c r="R625" s="306">
        <f t="shared" ca="1" si="281"/>
        <v>0</v>
      </c>
      <c r="S625" s="307">
        <f t="shared" ca="1" si="282"/>
        <v>2.6792999999999987</v>
      </c>
      <c r="T625" s="304">
        <f t="shared" ca="1" si="262"/>
        <v>26.283932999999987</v>
      </c>
      <c r="U625" s="311">
        <f t="shared" ca="1" si="263"/>
        <v>0</v>
      </c>
      <c r="V625" s="306">
        <f t="shared" ca="1" si="264"/>
        <v>1.2261663419696871</v>
      </c>
      <c r="W625" s="304">
        <f t="shared" ca="1" si="265"/>
        <v>25.395034972909386</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0.31793963559966976</v>
      </c>
      <c r="AH625" s="304">
        <f t="shared" ca="1" si="289"/>
        <v>-9.4782194650238498</v>
      </c>
    </row>
    <row r="626" spans="1:34" x14ac:dyDescent="0.2">
      <c r="A626" s="347">
        <f t="shared" ca="1" si="267"/>
        <v>1E-4</v>
      </c>
      <c r="B626" s="304">
        <f t="shared" ca="1" si="268"/>
        <v>36.610800000000566</v>
      </c>
      <c r="D626" s="306">
        <f t="shared" ca="1" si="269"/>
        <v>-0.50330662884624366</v>
      </c>
      <c r="E626" s="307">
        <f t="shared" ca="1" si="270"/>
        <v>-0.34513757576233672</v>
      </c>
      <c r="F626" s="304">
        <f t="shared" ca="1" si="271"/>
        <v>0.61027658388936501</v>
      </c>
      <c r="G626" s="306">
        <f t="shared" ca="1" si="272"/>
        <v>5.3402841224979802</v>
      </c>
      <c r="H626" s="307">
        <f t="shared" ca="1" si="273"/>
        <v>-100.42694725768909</v>
      </c>
      <c r="I626" s="304">
        <f t="shared" ca="1" si="274"/>
        <v>100.56883398950031</v>
      </c>
      <c r="J626" s="306">
        <f t="shared" ca="1" si="275"/>
        <v>711.72888807733182</v>
      </c>
      <c r="K626" s="307">
        <f t="shared" ca="1" si="276"/>
        <v>-9.5266711626086131</v>
      </c>
      <c r="L626" s="304">
        <f t="shared" ca="1" si="261"/>
        <v>711.79264367316671</v>
      </c>
      <c r="M626" s="306">
        <f t="shared" ca="1" si="277"/>
        <v>-1.5176705545150879</v>
      </c>
      <c r="N626" s="304">
        <f t="shared" ca="1" si="278"/>
        <v>-86.956117464993866</v>
      </c>
      <c r="P626" s="310">
        <f t="shared" ca="1" si="279"/>
        <v>23</v>
      </c>
      <c r="Q626" s="304">
        <f t="shared" ca="1" si="280"/>
        <v>0</v>
      </c>
      <c r="R626" s="306">
        <f t="shared" ca="1" si="281"/>
        <v>0</v>
      </c>
      <c r="S626" s="307">
        <f t="shared" ca="1" si="282"/>
        <v>2.6792999999999987</v>
      </c>
      <c r="T626" s="304">
        <f t="shared" ca="1" si="262"/>
        <v>26.283932999999987</v>
      </c>
      <c r="U626" s="311">
        <f t="shared" ca="1" si="263"/>
        <v>0</v>
      </c>
      <c r="V626" s="306">
        <f t="shared" ca="1" si="264"/>
        <v>1.2261675733717985</v>
      </c>
      <c r="W626" s="304">
        <f t="shared" ca="1" si="265"/>
        <v>25.395076532482335</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0.31792439381507442</v>
      </c>
      <c r="AH626" s="304">
        <f t="shared" ca="1" si="289"/>
        <v>-9.4782349766391967</v>
      </c>
    </row>
    <row r="627" spans="1:34" x14ac:dyDescent="0.2">
      <c r="A627" s="347">
        <f t="shared" ca="1" si="267"/>
        <v>1E-4</v>
      </c>
      <c r="B627" s="304">
        <f t="shared" ca="1" si="268"/>
        <v>36.610900000000569</v>
      </c>
      <c r="D627" s="306">
        <f t="shared" ca="1" si="269"/>
        <v>-0.50330254992692613</v>
      </c>
      <c r="E627" s="307">
        <f t="shared" ca="1" si="270"/>
        <v>-0.34512182559143056</v>
      </c>
      <c r="F627" s="304">
        <f t="shared" ca="1" si="271"/>
        <v>0.6102643126240529</v>
      </c>
      <c r="G627" s="306">
        <f t="shared" ca="1" si="272"/>
        <v>5.3402337922429872</v>
      </c>
      <c r="H627" s="307">
        <f t="shared" ca="1" si="273"/>
        <v>-100.42698176987166</v>
      </c>
      <c r="I627" s="304">
        <f t="shared" ca="1" si="274"/>
        <v>100.56886578042902</v>
      </c>
      <c r="J627" s="306">
        <f t="shared" ca="1" si="275"/>
        <v>711.72888807733182</v>
      </c>
      <c r="K627" s="307">
        <f t="shared" ca="1" si="276"/>
        <v>-9.5367138590599918</v>
      </c>
      <c r="L627" s="304">
        <f t="shared" ca="1" si="261"/>
        <v>711.79277815599164</v>
      </c>
      <c r="M627" s="306">
        <f t="shared" ca="1" si="277"/>
        <v>-1.5176710724872315</v>
      </c>
      <c r="N627" s="304">
        <f t="shared" ca="1" si="278"/>
        <v>-86.956147142611599</v>
      </c>
      <c r="P627" s="310">
        <f t="shared" ca="1" si="279"/>
        <v>23</v>
      </c>
      <c r="Q627" s="304">
        <f t="shared" ca="1" si="280"/>
        <v>0</v>
      </c>
      <c r="R627" s="306">
        <f t="shared" ca="1" si="281"/>
        <v>0</v>
      </c>
      <c r="S627" s="307">
        <f t="shared" ca="1" si="282"/>
        <v>2.6792999999999987</v>
      </c>
      <c r="T627" s="304">
        <f t="shared" ca="1" si="262"/>
        <v>26.283932999999987</v>
      </c>
      <c r="U627" s="311">
        <f t="shared" ca="1" si="263"/>
        <v>0</v>
      </c>
      <c r="V627" s="306">
        <f t="shared" ca="1" si="264"/>
        <v>1.2261688047755699</v>
      </c>
      <c r="W627" s="304">
        <f t="shared" ca="1" si="265"/>
        <v>25.395118091357251</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0.31790915228566874</v>
      </c>
      <c r="AH627" s="304">
        <f t="shared" ca="1" si="289"/>
        <v>-9.4782504879940088</v>
      </c>
    </row>
    <row r="628" spans="1:34" x14ac:dyDescent="0.2">
      <c r="A628" s="347">
        <f t="shared" ca="1" si="267"/>
        <v>1E-4</v>
      </c>
      <c r="B628" s="304">
        <f t="shared" ca="1" si="268"/>
        <v>36.611000000000573</v>
      </c>
      <c r="D628" s="306">
        <f t="shared" ca="1" si="269"/>
        <v>-0.5032984710268954</v>
      </c>
      <c r="E628" s="307">
        <f t="shared" ca="1" si="270"/>
        <v>-0.34510607568499019</v>
      </c>
      <c r="F628" s="304">
        <f t="shared" ca="1" si="271"/>
        <v>0.61025204171121361</v>
      </c>
      <c r="G628" s="306">
        <f t="shared" ca="1" si="272"/>
        <v>5.3401834623958848</v>
      </c>
      <c r="H628" s="307">
        <f t="shared" ca="1" si="273"/>
        <v>-100.42701628047922</v>
      </c>
      <c r="I628" s="304">
        <f t="shared" ca="1" si="274"/>
        <v>100.56889756983361</v>
      </c>
      <c r="J628" s="306">
        <f t="shared" ca="1" si="275"/>
        <v>711.72888807733182</v>
      </c>
      <c r="K628" s="307">
        <f t="shared" ca="1" si="276"/>
        <v>-9.5467565589625085</v>
      </c>
      <c r="L628" s="304">
        <f t="shared" ca="1" si="261"/>
        <v>711.79291278053006</v>
      </c>
      <c r="M628" s="306">
        <f t="shared" ca="1" si="277"/>
        <v>-1.5176715904541658</v>
      </c>
      <c r="N628" s="304">
        <f t="shared" ca="1" si="278"/>
        <v>-86.95617681993086</v>
      </c>
      <c r="P628" s="310">
        <f t="shared" ca="1" si="279"/>
        <v>23</v>
      </c>
      <c r="Q628" s="304">
        <f t="shared" ca="1" si="280"/>
        <v>0</v>
      </c>
      <c r="R628" s="306">
        <f t="shared" ca="1" si="281"/>
        <v>0</v>
      </c>
      <c r="S628" s="307">
        <f t="shared" ca="1" si="282"/>
        <v>2.6792999999999987</v>
      </c>
      <c r="T628" s="304">
        <f t="shared" ca="1" si="262"/>
        <v>26.283932999999987</v>
      </c>
      <c r="U628" s="311">
        <f t="shared" ca="1" si="263"/>
        <v>0</v>
      </c>
      <c r="V628" s="306">
        <f t="shared" ca="1" si="264"/>
        <v>1.2261700361810026</v>
      </c>
      <c r="W628" s="304">
        <f t="shared" ca="1" si="265"/>
        <v>25.395159649534161</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0.31789391101145092</v>
      </c>
      <c r="AH628" s="304">
        <f t="shared" ca="1" si="289"/>
        <v>-9.4782659990882934</v>
      </c>
    </row>
    <row r="629" spans="1:34" x14ac:dyDescent="0.2">
      <c r="A629" s="347">
        <f t="shared" ca="1" si="267"/>
        <v>1E-4</v>
      </c>
      <c r="B629" s="304">
        <f t="shared" ca="1" si="268"/>
        <v>36.611100000000576</v>
      </c>
      <c r="D629" s="306">
        <f t="shared" ca="1" si="269"/>
        <v>-0.50329439214615646</v>
      </c>
      <c r="E629" s="307">
        <f t="shared" ca="1" si="270"/>
        <v>-0.34509032604301026</v>
      </c>
      <c r="F629" s="304">
        <f t="shared" ca="1" si="271"/>
        <v>0.61023977115084882</v>
      </c>
      <c r="G629" s="306">
        <f t="shared" ca="1" si="272"/>
        <v>5.3401331329566704</v>
      </c>
      <c r="H629" s="307">
        <f t="shared" ca="1" si="273"/>
        <v>-100.42705078951182</v>
      </c>
      <c r="I629" s="304">
        <f t="shared" ca="1" si="274"/>
        <v>100.5689293577141</v>
      </c>
      <c r="J629" s="306">
        <f t="shared" ca="1" si="275"/>
        <v>711.72888807733182</v>
      </c>
      <c r="K629" s="307">
        <f t="shared" ca="1" si="276"/>
        <v>-9.5567992623160087</v>
      </c>
      <c r="L629" s="304">
        <f t="shared" ca="1" si="261"/>
        <v>711.79304754678196</v>
      </c>
      <c r="M629" s="306">
        <f t="shared" ca="1" si="277"/>
        <v>-1.5176721084158911</v>
      </c>
      <c r="N629" s="304">
        <f t="shared" ca="1" si="278"/>
        <v>-86.956206496951665</v>
      </c>
      <c r="P629" s="310">
        <f t="shared" ca="1" si="279"/>
        <v>23</v>
      </c>
      <c r="Q629" s="304">
        <f t="shared" ca="1" si="280"/>
        <v>0</v>
      </c>
      <c r="R629" s="306">
        <f t="shared" ca="1" si="281"/>
        <v>0</v>
      </c>
      <c r="S629" s="307">
        <f t="shared" ca="1" si="282"/>
        <v>2.6792999999999987</v>
      </c>
      <c r="T629" s="304">
        <f t="shared" ca="1" si="262"/>
        <v>26.283932999999987</v>
      </c>
      <c r="U629" s="311">
        <f t="shared" ca="1" si="263"/>
        <v>0</v>
      </c>
      <c r="V629" s="306">
        <f t="shared" ca="1" si="264"/>
        <v>1.2261712675880947</v>
      </c>
      <c r="W629" s="304">
        <f t="shared" ca="1" si="265"/>
        <v>25.395201207013038</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0.31787866999241032</v>
      </c>
      <c r="AH629" s="304">
        <f t="shared" ca="1" si="289"/>
        <v>-9.4782815099220592</v>
      </c>
    </row>
    <row r="630" spans="1:34" x14ac:dyDescent="0.2">
      <c r="A630" s="347">
        <f t="shared" ca="1" si="267"/>
        <v>1E-4</v>
      </c>
      <c r="B630" s="304">
        <f t="shared" ca="1" si="268"/>
        <v>36.611200000000579</v>
      </c>
      <c r="D630" s="306">
        <f t="shared" ca="1" si="269"/>
        <v>-0.50329031328470542</v>
      </c>
      <c r="E630" s="307">
        <f t="shared" ca="1" si="270"/>
        <v>-0.3450745766654979</v>
      </c>
      <c r="F630" s="304">
        <f t="shared" ca="1" si="271"/>
        <v>0.61022750094295941</v>
      </c>
      <c r="G630" s="306">
        <f t="shared" ca="1" si="272"/>
        <v>5.3400828039253421</v>
      </c>
      <c r="H630" s="307">
        <f t="shared" ca="1" si="273"/>
        <v>-100.42708529696949</v>
      </c>
      <c r="I630" s="304">
        <f t="shared" ca="1" si="274"/>
        <v>100.56896114407053</v>
      </c>
      <c r="J630" s="306">
        <f t="shared" ca="1" si="275"/>
        <v>711.72888807733182</v>
      </c>
      <c r="K630" s="307">
        <f t="shared" ca="1" si="276"/>
        <v>-9.5668419691203326</v>
      </c>
      <c r="L630" s="304">
        <f t="shared" ca="1" si="261"/>
        <v>711.79318245474735</v>
      </c>
      <c r="M630" s="306">
        <f t="shared" ca="1" si="277"/>
        <v>-1.5176726263724072</v>
      </c>
      <c r="N630" s="304">
        <f t="shared" ca="1" si="278"/>
        <v>-86.956236173674014</v>
      </c>
      <c r="P630" s="310">
        <f t="shared" ca="1" si="279"/>
        <v>23</v>
      </c>
      <c r="Q630" s="304">
        <f t="shared" ca="1" si="280"/>
        <v>0</v>
      </c>
      <c r="R630" s="306">
        <f t="shared" ca="1" si="281"/>
        <v>0</v>
      </c>
      <c r="S630" s="307">
        <f t="shared" ca="1" si="282"/>
        <v>2.6792999999999987</v>
      </c>
      <c r="T630" s="304">
        <f t="shared" ca="1" si="262"/>
        <v>26.283932999999987</v>
      </c>
      <c r="U630" s="311">
        <f t="shared" ca="1" si="263"/>
        <v>0</v>
      </c>
      <c r="V630" s="306">
        <f t="shared" ca="1" si="264"/>
        <v>1.2261724989968479</v>
      </c>
      <c r="W630" s="304">
        <f t="shared" ca="1" si="265"/>
        <v>25.395242763793959</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0.31786342922855582</v>
      </c>
      <c r="AH630" s="304">
        <f t="shared" ca="1" si="289"/>
        <v>-9.4782970204952974</v>
      </c>
    </row>
    <row r="631" spans="1:34" x14ac:dyDescent="0.2">
      <c r="A631" s="347">
        <f t="shared" ca="1" si="267"/>
        <v>1E-4</v>
      </c>
      <c r="B631" s="304">
        <f t="shared" ca="1" si="268"/>
        <v>36.611300000000583</v>
      </c>
      <c r="D631" s="306">
        <f t="shared" ca="1" si="269"/>
        <v>-0.50328623444254661</v>
      </c>
      <c r="E631" s="307">
        <f t="shared" ca="1" si="270"/>
        <v>-0.34505882755242467</v>
      </c>
      <c r="F631" s="304">
        <f t="shared" ca="1" si="271"/>
        <v>0.61021523108753351</v>
      </c>
      <c r="G631" s="306">
        <f t="shared" ca="1" si="272"/>
        <v>5.3400324753018982</v>
      </c>
      <c r="H631" s="307">
        <f t="shared" ca="1" si="273"/>
        <v>-100.42711980285225</v>
      </c>
      <c r="I631" s="304">
        <f t="shared" ca="1" si="274"/>
        <v>100.56899292890287</v>
      </c>
      <c r="J631" s="306">
        <f t="shared" ca="1" si="275"/>
        <v>711.72888807733182</v>
      </c>
      <c r="K631" s="307">
        <f t="shared" ca="1" si="276"/>
        <v>-9.5768846793753237</v>
      </c>
      <c r="L631" s="304">
        <f t="shared" ca="1" si="261"/>
        <v>711.79331750442645</v>
      </c>
      <c r="M631" s="306">
        <f t="shared" ca="1" si="277"/>
        <v>-1.5176731443237144</v>
      </c>
      <c r="N631" s="304">
        <f t="shared" ca="1" si="278"/>
        <v>-86.956265850097907</v>
      </c>
      <c r="P631" s="310">
        <f t="shared" ca="1" si="279"/>
        <v>23</v>
      </c>
      <c r="Q631" s="304">
        <f t="shared" ca="1" si="280"/>
        <v>0</v>
      </c>
      <c r="R631" s="306">
        <f t="shared" ca="1" si="281"/>
        <v>0</v>
      </c>
      <c r="S631" s="307">
        <f t="shared" ca="1" si="282"/>
        <v>2.6792999999999987</v>
      </c>
      <c r="T631" s="304">
        <f t="shared" ca="1" si="262"/>
        <v>26.283932999999987</v>
      </c>
      <c r="U631" s="311">
        <f t="shared" ca="1" si="263"/>
        <v>0</v>
      </c>
      <c r="V631" s="306">
        <f t="shared" ca="1" si="264"/>
        <v>1.2261737304072613</v>
      </c>
      <c r="W631" s="304">
        <f t="shared" ca="1" si="265"/>
        <v>25.395284319876851</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0.31784818871985898</v>
      </c>
      <c r="AH631" s="304">
        <f t="shared" ca="1" si="289"/>
        <v>-9.4783125308080365</v>
      </c>
    </row>
    <row r="632" spans="1:34" x14ac:dyDescent="0.2">
      <c r="A632" s="347">
        <f t="shared" ca="1" si="267"/>
        <v>1E-4</v>
      </c>
      <c r="B632" s="304">
        <f t="shared" ca="1" si="268"/>
        <v>36.611400000000586</v>
      </c>
      <c r="D632" s="306">
        <f t="shared" ca="1" si="269"/>
        <v>-0.50328215561967693</v>
      </c>
      <c r="E632" s="307">
        <f t="shared" ca="1" si="270"/>
        <v>-0.34504307870382078</v>
      </c>
      <c r="F632" s="304">
        <f t="shared" ca="1" si="271"/>
        <v>0.61020296158458598</v>
      </c>
      <c r="G632" s="306">
        <f t="shared" ca="1" si="272"/>
        <v>5.339982147086336</v>
      </c>
      <c r="H632" s="307">
        <f t="shared" ca="1" si="273"/>
        <v>-100.42715430716012</v>
      </c>
      <c r="I632" s="304">
        <f t="shared" ca="1" si="274"/>
        <v>100.56902471221122</v>
      </c>
      <c r="J632" s="306">
        <f t="shared" ca="1" si="275"/>
        <v>711.72888807733182</v>
      </c>
      <c r="K632" s="307">
        <f t="shared" ca="1" si="276"/>
        <v>-9.5869273930808241</v>
      </c>
      <c r="L632" s="304">
        <f t="shared" ca="1" si="261"/>
        <v>711.79345269581916</v>
      </c>
      <c r="M632" s="306">
        <f t="shared" ca="1" si="277"/>
        <v>-1.5176736622698126</v>
      </c>
      <c r="N632" s="304">
        <f t="shared" ca="1" si="278"/>
        <v>-86.956295526223343</v>
      </c>
      <c r="P632" s="310">
        <f t="shared" ca="1" si="279"/>
        <v>23</v>
      </c>
      <c r="Q632" s="304">
        <f t="shared" ca="1" si="280"/>
        <v>0</v>
      </c>
      <c r="R632" s="306">
        <f t="shared" ca="1" si="281"/>
        <v>0</v>
      </c>
      <c r="S632" s="307">
        <f t="shared" ca="1" si="282"/>
        <v>2.6792999999999987</v>
      </c>
      <c r="T632" s="304">
        <f t="shared" ca="1" si="262"/>
        <v>26.283932999999987</v>
      </c>
      <c r="U632" s="311">
        <f t="shared" ca="1" si="263"/>
        <v>0</v>
      </c>
      <c r="V632" s="306">
        <f t="shared" ca="1" si="264"/>
        <v>1.2261749618193349</v>
      </c>
      <c r="W632" s="304">
        <f t="shared" ca="1" si="265"/>
        <v>25.395325875261776</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0.31783294846634647</v>
      </c>
      <c r="AH632" s="304">
        <f t="shared" ca="1" si="289"/>
        <v>-9.4783280408602479</v>
      </c>
    </row>
    <row r="633" spans="1:34" x14ac:dyDescent="0.2">
      <c r="A633" s="347">
        <f t="shared" ca="1" si="267"/>
        <v>1E-4</v>
      </c>
      <c r="B633" s="304">
        <f t="shared" ca="1" si="268"/>
        <v>36.611500000000589</v>
      </c>
      <c r="D633" s="306">
        <f t="shared" ca="1" si="269"/>
        <v>-0.50327807681609837</v>
      </c>
      <c r="E633" s="307">
        <f t="shared" ca="1" si="270"/>
        <v>-0.3450273301196578</v>
      </c>
      <c r="F633" s="304">
        <f t="shared" ca="1" si="271"/>
        <v>0.61019069243410284</v>
      </c>
      <c r="G633" s="306">
        <f t="shared" ca="1" si="272"/>
        <v>5.3399318192786547</v>
      </c>
      <c r="H633" s="307">
        <f t="shared" ca="1" si="273"/>
        <v>-100.42718880989314</v>
      </c>
      <c r="I633" s="304">
        <f t="shared" ca="1" si="274"/>
        <v>100.56905649399556</v>
      </c>
      <c r="J633" s="306">
        <f t="shared" ca="1" si="275"/>
        <v>711.72888807733182</v>
      </c>
      <c r="K633" s="307">
        <f t="shared" ca="1" si="276"/>
        <v>-9.5969701102366773</v>
      </c>
      <c r="L633" s="304">
        <f t="shared" ca="1" si="261"/>
        <v>711.79358802892568</v>
      </c>
      <c r="M633" s="306">
        <f t="shared" ca="1" si="277"/>
        <v>-1.5176741802107019</v>
      </c>
      <c r="N633" s="304">
        <f t="shared" ca="1" si="278"/>
        <v>-86.956325202050337</v>
      </c>
      <c r="P633" s="310">
        <f t="shared" ca="1" si="279"/>
        <v>23</v>
      </c>
      <c r="Q633" s="304">
        <f t="shared" ca="1" si="280"/>
        <v>0</v>
      </c>
      <c r="R633" s="306">
        <f t="shared" ca="1" si="281"/>
        <v>0</v>
      </c>
      <c r="S633" s="307">
        <f t="shared" ca="1" si="282"/>
        <v>2.6792999999999987</v>
      </c>
      <c r="T633" s="304">
        <f t="shared" ca="1" si="262"/>
        <v>26.283932999999987</v>
      </c>
      <c r="U633" s="311">
        <f t="shared" ca="1" si="263"/>
        <v>0</v>
      </c>
      <c r="V633" s="306">
        <f t="shared" ca="1" si="264"/>
        <v>1.226176193233069</v>
      </c>
      <c r="W633" s="304">
        <f t="shared" ca="1" si="265"/>
        <v>25.395367429948742</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0.31781770846799695</v>
      </c>
      <c r="AH633" s="304">
        <f t="shared" ca="1" si="289"/>
        <v>-9.4783435506519567</v>
      </c>
    </row>
    <row r="634" spans="1:34" x14ac:dyDescent="0.2">
      <c r="A634" s="347">
        <f t="shared" ca="1" si="267"/>
        <v>1E-4</v>
      </c>
      <c r="B634" s="304">
        <f t="shared" ca="1" si="268"/>
        <v>36.611600000000593</v>
      </c>
      <c r="D634" s="306">
        <f t="shared" ca="1" si="269"/>
        <v>-0.50327399803181183</v>
      </c>
      <c r="E634" s="307">
        <f t="shared" ca="1" si="270"/>
        <v>-0.34501158179993574</v>
      </c>
      <c r="F634" s="304">
        <f t="shared" ca="1" si="271"/>
        <v>0.61017842363608521</v>
      </c>
      <c r="G634" s="306">
        <f t="shared" ca="1" si="272"/>
        <v>5.3398814918788515</v>
      </c>
      <c r="H634" s="307">
        <f t="shared" ca="1" si="273"/>
        <v>-100.42722331105132</v>
      </c>
      <c r="I634" s="304">
        <f t="shared" ca="1" si="274"/>
        <v>100.56908827425592</v>
      </c>
      <c r="J634" s="306">
        <f t="shared" ca="1" si="275"/>
        <v>711.72888807733182</v>
      </c>
      <c r="K634" s="307">
        <f t="shared" ca="1" si="276"/>
        <v>-9.6070128308427254</v>
      </c>
      <c r="L634" s="304">
        <f t="shared" ca="1" si="261"/>
        <v>711.79372350374592</v>
      </c>
      <c r="M634" s="306">
        <f t="shared" ca="1" si="277"/>
        <v>-1.5176746981463827</v>
      </c>
      <c r="N634" s="304">
        <f t="shared" ca="1" si="278"/>
        <v>-86.956354877578917</v>
      </c>
      <c r="P634" s="310">
        <f t="shared" ca="1" si="279"/>
        <v>23</v>
      </c>
      <c r="Q634" s="304">
        <f t="shared" ca="1" si="280"/>
        <v>0</v>
      </c>
      <c r="R634" s="306">
        <f t="shared" ca="1" si="281"/>
        <v>0</v>
      </c>
      <c r="S634" s="307">
        <f t="shared" ca="1" si="282"/>
        <v>2.6792999999999987</v>
      </c>
      <c r="T634" s="304">
        <f t="shared" ca="1" si="262"/>
        <v>26.283932999999987</v>
      </c>
      <c r="U634" s="311">
        <f t="shared" ca="1" si="263"/>
        <v>0</v>
      </c>
      <c r="V634" s="306">
        <f t="shared" ca="1" si="264"/>
        <v>1.2261774246484636</v>
      </c>
      <c r="W634" s="304">
        <f t="shared" ca="1" si="265"/>
        <v>25.395408983937738</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0.31780246872480689</v>
      </c>
      <c r="AH634" s="304">
        <f t="shared" ca="1" si="289"/>
        <v>-9.4783590601831644</v>
      </c>
    </row>
    <row r="635" spans="1:34" x14ac:dyDescent="0.2">
      <c r="A635" s="347">
        <f t="shared" ca="1" si="267"/>
        <v>1E-4</v>
      </c>
      <c r="B635" s="304">
        <f t="shared" ca="1" si="268"/>
        <v>36.611700000000596</v>
      </c>
      <c r="D635" s="306">
        <f t="shared" ca="1" si="269"/>
        <v>-0.50326991926681353</v>
      </c>
      <c r="E635" s="307">
        <f t="shared" ca="1" si="270"/>
        <v>-0.34499583374465814</v>
      </c>
      <c r="F635" s="304">
        <f t="shared" ca="1" si="271"/>
        <v>0.6101661551905323</v>
      </c>
      <c r="G635" s="306">
        <f t="shared" ca="1" si="272"/>
        <v>5.3398311648869248</v>
      </c>
      <c r="H635" s="307">
        <f t="shared" ca="1" si="273"/>
        <v>-100.4272578106347</v>
      </c>
      <c r="I635" s="304">
        <f t="shared" ca="1" si="274"/>
        <v>100.56912005299235</v>
      </c>
      <c r="J635" s="306">
        <f t="shared" ca="1" si="275"/>
        <v>711.72888807733182</v>
      </c>
      <c r="K635" s="307">
        <f t="shared" ca="1" si="276"/>
        <v>-9.6170555548988101</v>
      </c>
      <c r="L635" s="304">
        <f t="shared" ca="1" si="261"/>
        <v>711.7938591202801</v>
      </c>
      <c r="M635" s="306">
        <f t="shared" ca="1" si="277"/>
        <v>-1.5176752160768545</v>
      </c>
      <c r="N635" s="304">
        <f t="shared" ca="1" si="278"/>
        <v>-86.956384552809027</v>
      </c>
      <c r="P635" s="310">
        <f t="shared" ca="1" si="279"/>
        <v>23</v>
      </c>
      <c r="Q635" s="304">
        <f t="shared" ca="1" si="280"/>
        <v>0</v>
      </c>
      <c r="R635" s="306">
        <f t="shared" ca="1" si="281"/>
        <v>0</v>
      </c>
      <c r="S635" s="307">
        <f t="shared" ca="1" si="282"/>
        <v>2.6792999999999987</v>
      </c>
      <c r="T635" s="304">
        <f t="shared" ca="1" si="262"/>
        <v>26.283932999999987</v>
      </c>
      <c r="U635" s="311">
        <f t="shared" ca="1" si="263"/>
        <v>0</v>
      </c>
      <c r="V635" s="306">
        <f t="shared" ca="1" si="264"/>
        <v>1.2261786560655183</v>
      </c>
      <c r="W635" s="304">
        <f t="shared" ca="1" si="265"/>
        <v>25.395450537228797</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0.31778722923677805</v>
      </c>
      <c r="AH635" s="304">
        <f t="shared" ca="1" si="289"/>
        <v>-9.4783745694538695</v>
      </c>
    </row>
    <row r="636" spans="1:34" x14ac:dyDescent="0.2">
      <c r="A636" s="347">
        <f t="shared" ca="1" si="267"/>
        <v>1E-4</v>
      </c>
      <c r="B636" s="304">
        <f t="shared" ca="1" si="268"/>
        <v>36.611800000000599</v>
      </c>
      <c r="D636" s="306">
        <f t="shared" ca="1" si="269"/>
        <v>-0.50326584052110879</v>
      </c>
      <c r="E636" s="307">
        <f t="shared" ca="1" si="270"/>
        <v>-0.34498008595381258</v>
      </c>
      <c r="F636" s="304">
        <f t="shared" ca="1" si="271"/>
        <v>0.610153887097442</v>
      </c>
      <c r="G636" s="306">
        <f t="shared" ca="1" si="272"/>
        <v>5.3397808383028726</v>
      </c>
      <c r="H636" s="307">
        <f t="shared" ca="1" si="273"/>
        <v>-100.42729230864329</v>
      </c>
      <c r="I636" s="304">
        <f t="shared" ca="1" si="274"/>
        <v>100.56915183020483</v>
      </c>
      <c r="J636" s="306">
        <f t="shared" ca="1" si="275"/>
        <v>711.72888807733182</v>
      </c>
      <c r="K636" s="307">
        <f t="shared" ca="1" si="276"/>
        <v>-9.6270982824047735</v>
      </c>
      <c r="L636" s="304">
        <f t="shared" ca="1" si="261"/>
        <v>711.79399487852822</v>
      </c>
      <c r="M636" s="306">
        <f t="shared" ca="1" si="277"/>
        <v>-1.5176757340021176</v>
      </c>
      <c r="N636" s="304">
        <f t="shared" ca="1" si="278"/>
        <v>-86.956414227740709</v>
      </c>
      <c r="P636" s="310">
        <f t="shared" ca="1" si="279"/>
        <v>23</v>
      </c>
      <c r="Q636" s="304">
        <f t="shared" ca="1" si="280"/>
        <v>0</v>
      </c>
      <c r="R636" s="306">
        <f t="shared" ca="1" si="281"/>
        <v>0</v>
      </c>
      <c r="S636" s="307">
        <f t="shared" ca="1" si="282"/>
        <v>2.6792999999999987</v>
      </c>
      <c r="T636" s="304">
        <f t="shared" ca="1" si="262"/>
        <v>26.283932999999987</v>
      </c>
      <c r="U636" s="311">
        <f t="shared" ca="1" si="263"/>
        <v>0</v>
      </c>
      <c r="V636" s="306">
        <f t="shared" ca="1" si="264"/>
        <v>1.2261798874842336</v>
      </c>
      <c r="W636" s="304">
        <f t="shared" ca="1" si="265"/>
        <v>25.395492089821893</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0.31777199000390333</v>
      </c>
      <c r="AH636" s="304">
        <f t="shared" ca="1" si="289"/>
        <v>-9.4783900784640807</v>
      </c>
    </row>
    <row r="637" spans="1:34" x14ac:dyDescent="0.2">
      <c r="A637" s="347">
        <f t="shared" ca="1" si="267"/>
        <v>1E-4</v>
      </c>
      <c r="B637" s="304">
        <f t="shared" ca="1" si="268"/>
        <v>36.611900000000603</v>
      </c>
      <c r="D637" s="306">
        <f t="shared" ca="1" si="269"/>
        <v>-0.50326176179469573</v>
      </c>
      <c r="E637" s="307">
        <f t="shared" ca="1" si="270"/>
        <v>-0.34496433842741148</v>
      </c>
      <c r="F637" s="304">
        <f t="shared" ca="1" si="271"/>
        <v>0.6101416193568201</v>
      </c>
      <c r="G637" s="306">
        <f t="shared" ca="1" si="272"/>
        <v>5.3397305121266934</v>
      </c>
      <c r="H637" s="307">
        <f t="shared" ca="1" si="273"/>
        <v>-100.42732680507713</v>
      </c>
      <c r="I637" s="304">
        <f t="shared" ca="1" si="274"/>
        <v>100.56918360589341</v>
      </c>
      <c r="J637" s="306">
        <f t="shared" ca="1" si="275"/>
        <v>711.72888807733182</v>
      </c>
      <c r="K637" s="307">
        <f t="shared" ca="1" si="276"/>
        <v>-9.6371410133604591</v>
      </c>
      <c r="L637" s="304">
        <f t="shared" ca="1" si="261"/>
        <v>711.79413077849028</v>
      </c>
      <c r="M637" s="306">
        <f t="shared" ca="1" si="277"/>
        <v>-1.5176762519221723</v>
      </c>
      <c r="N637" s="304">
        <f t="shared" ca="1" si="278"/>
        <v>-86.956443902373962</v>
      </c>
      <c r="P637" s="310">
        <f t="shared" ca="1" si="279"/>
        <v>23</v>
      </c>
      <c r="Q637" s="304">
        <f t="shared" ca="1" si="280"/>
        <v>0</v>
      </c>
      <c r="R637" s="306">
        <f t="shared" ca="1" si="281"/>
        <v>0</v>
      </c>
      <c r="S637" s="307">
        <f t="shared" ca="1" si="282"/>
        <v>2.6792999999999987</v>
      </c>
      <c r="T637" s="304">
        <f t="shared" ca="1" si="262"/>
        <v>26.283932999999987</v>
      </c>
      <c r="U637" s="311">
        <f t="shared" ca="1" si="263"/>
        <v>0</v>
      </c>
      <c r="V637" s="306">
        <f t="shared" ca="1" si="264"/>
        <v>1.2261811189046088</v>
      </c>
      <c r="W637" s="304">
        <f t="shared" ca="1" si="265"/>
        <v>25.395533641717062</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0.31775675102618806</v>
      </c>
      <c r="AH637" s="304">
        <f t="shared" ca="1" si="289"/>
        <v>-9.4784055872137891</v>
      </c>
    </row>
    <row r="638" spans="1:34" x14ac:dyDescent="0.2">
      <c r="A638" s="347">
        <f t="shared" ca="1" si="267"/>
        <v>1E-4</v>
      </c>
      <c r="B638" s="304">
        <f t="shared" ca="1" si="268"/>
        <v>36.612000000000606</v>
      </c>
      <c r="D638" s="306">
        <f t="shared" ca="1" si="269"/>
        <v>-0.50325768308757379</v>
      </c>
      <c r="E638" s="307">
        <f t="shared" ca="1" si="270"/>
        <v>-0.3449485911654353</v>
      </c>
      <c r="F638" s="304">
        <f t="shared" ca="1" si="271"/>
        <v>0.61012935196865548</v>
      </c>
      <c r="G638" s="306">
        <f t="shared" ca="1" si="272"/>
        <v>5.3396801863583843</v>
      </c>
      <c r="H638" s="307">
        <f t="shared" ca="1" si="273"/>
        <v>-100.42736129993625</v>
      </c>
      <c r="I638" s="304">
        <f t="shared" ca="1" si="274"/>
        <v>100.56921538005814</v>
      </c>
      <c r="J638" s="306">
        <f t="shared" ca="1" si="275"/>
        <v>711.72888807733182</v>
      </c>
      <c r="K638" s="307">
        <f t="shared" ca="1" si="276"/>
        <v>-9.647183747765709</v>
      </c>
      <c r="L638" s="304">
        <f t="shared" ca="1" si="261"/>
        <v>711.7942668201664</v>
      </c>
      <c r="M638" s="306">
        <f t="shared" ca="1" si="277"/>
        <v>-1.5176767698370184</v>
      </c>
      <c r="N638" s="304">
        <f t="shared" ca="1" si="278"/>
        <v>-86.956473576708788</v>
      </c>
      <c r="P638" s="310">
        <f t="shared" ca="1" si="279"/>
        <v>23</v>
      </c>
      <c r="Q638" s="304">
        <f t="shared" ca="1" si="280"/>
        <v>0</v>
      </c>
      <c r="R638" s="306">
        <f t="shared" ca="1" si="281"/>
        <v>0</v>
      </c>
      <c r="S638" s="307">
        <f t="shared" ca="1" si="282"/>
        <v>2.6792999999999987</v>
      </c>
      <c r="T638" s="304">
        <f t="shared" ca="1" si="262"/>
        <v>26.283932999999987</v>
      </c>
      <c r="U638" s="311">
        <f t="shared" ca="1" si="263"/>
        <v>0</v>
      </c>
      <c r="V638" s="306">
        <f t="shared" ca="1" si="264"/>
        <v>1.2261823503266442</v>
      </c>
      <c r="W638" s="304">
        <f t="shared" ca="1" si="265"/>
        <v>25.395575192914308</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0.31774151230362158</v>
      </c>
      <c r="AH638" s="304">
        <f t="shared" ca="1" si="289"/>
        <v>-9.4784210957030108</v>
      </c>
    </row>
    <row r="639" spans="1:34" x14ac:dyDescent="0.2">
      <c r="A639" s="347">
        <f t="shared" ca="1" si="267"/>
        <v>1E-4</v>
      </c>
      <c r="B639" s="304">
        <f t="shared" ca="1" si="268"/>
        <v>36.612100000000609</v>
      </c>
      <c r="D639" s="306">
        <f t="shared" ca="1" si="269"/>
        <v>-0.50325360439974343</v>
      </c>
      <c r="E639" s="307">
        <f t="shared" ca="1" si="270"/>
        <v>-0.34493284416788761</v>
      </c>
      <c r="F639" s="304">
        <f t="shared" ca="1" si="271"/>
        <v>0.61011708493295103</v>
      </c>
      <c r="G639" s="306">
        <f t="shared" ca="1" si="272"/>
        <v>5.3396298609979445</v>
      </c>
      <c r="H639" s="307">
        <f t="shared" ca="1" si="273"/>
        <v>-100.42739579322067</v>
      </c>
      <c r="I639" s="304">
        <f t="shared" ca="1" si="274"/>
        <v>100.56924715269901</v>
      </c>
      <c r="J639" s="306">
        <f t="shared" ca="1" si="275"/>
        <v>711.72888807733182</v>
      </c>
      <c r="K639" s="307">
        <f t="shared" ca="1" si="276"/>
        <v>-9.6572264856203667</v>
      </c>
      <c r="L639" s="304">
        <f t="shared" ca="1" si="261"/>
        <v>711.79440300355668</v>
      </c>
      <c r="M639" s="306">
        <f t="shared" ca="1" si="277"/>
        <v>-1.517677287746656</v>
      </c>
      <c r="N639" s="304">
        <f t="shared" ca="1" si="278"/>
        <v>-86.9565032507452</v>
      </c>
      <c r="P639" s="310">
        <f t="shared" ca="1" si="279"/>
        <v>23</v>
      </c>
      <c r="Q639" s="304">
        <f t="shared" ca="1" si="280"/>
        <v>0</v>
      </c>
      <c r="R639" s="306">
        <f t="shared" ca="1" si="281"/>
        <v>0</v>
      </c>
      <c r="S639" s="307">
        <f t="shared" ca="1" si="282"/>
        <v>2.6792999999999987</v>
      </c>
      <c r="T639" s="304">
        <f t="shared" ca="1" si="262"/>
        <v>26.283932999999987</v>
      </c>
      <c r="U639" s="311">
        <f t="shared" ca="1" si="263"/>
        <v>0</v>
      </c>
      <c r="V639" s="306">
        <f t="shared" ca="1" si="264"/>
        <v>1.2261835817503397</v>
      </c>
      <c r="W639" s="304">
        <f t="shared" ca="1" si="265"/>
        <v>25.395616743413633</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0.31772627383620033</v>
      </c>
      <c r="AH639" s="304">
        <f t="shared" ca="1" si="289"/>
        <v>-9.478436603931744</v>
      </c>
    </row>
    <row r="640" spans="1:34" x14ac:dyDescent="0.2">
      <c r="A640" s="347">
        <f t="shared" ca="1" si="267"/>
        <v>1E-4</v>
      </c>
      <c r="B640" s="304">
        <f t="shared" ca="1" si="268"/>
        <v>36.612200000000612</v>
      </c>
      <c r="D640" s="306">
        <f t="shared" ca="1" si="269"/>
        <v>-0.50324952573120552</v>
      </c>
      <c r="E640" s="307">
        <f t="shared" ca="1" si="270"/>
        <v>-0.34491709743476662</v>
      </c>
      <c r="F640" s="304">
        <f t="shared" ca="1" si="271"/>
        <v>0.61010481824970664</v>
      </c>
      <c r="G640" s="306">
        <f t="shared" ca="1" si="272"/>
        <v>5.3395795360453713</v>
      </c>
      <c r="H640" s="307">
        <f t="shared" ca="1" si="273"/>
        <v>-100.42743028493041</v>
      </c>
      <c r="I640" s="304">
        <f t="shared" ca="1" si="274"/>
        <v>100.56927892381606</v>
      </c>
      <c r="J640" s="306">
        <f t="shared" ca="1" si="275"/>
        <v>711.72888807733182</v>
      </c>
      <c r="K640" s="307">
        <f t="shared" ca="1" si="276"/>
        <v>-9.6672692269242742</v>
      </c>
      <c r="L640" s="304">
        <f t="shared" ca="1" si="261"/>
        <v>711.79453932866113</v>
      </c>
      <c r="M640" s="306">
        <f t="shared" ca="1" si="277"/>
        <v>-1.5176778056510851</v>
      </c>
      <c r="N640" s="304">
        <f t="shared" ca="1" si="278"/>
        <v>-86.956532924483184</v>
      </c>
      <c r="P640" s="310">
        <f t="shared" ca="1" si="279"/>
        <v>23</v>
      </c>
      <c r="Q640" s="304">
        <f t="shared" ca="1" si="280"/>
        <v>0</v>
      </c>
      <c r="R640" s="306">
        <f t="shared" ca="1" si="281"/>
        <v>0</v>
      </c>
      <c r="S640" s="307">
        <f t="shared" ca="1" si="282"/>
        <v>2.6792999999999987</v>
      </c>
      <c r="T640" s="304">
        <f t="shared" ca="1" si="262"/>
        <v>26.283932999999987</v>
      </c>
      <c r="U640" s="311">
        <f t="shared" ca="1" si="263"/>
        <v>0</v>
      </c>
      <c r="V640" s="306">
        <f t="shared" ca="1" si="264"/>
        <v>1.2261848131756961</v>
      </c>
      <c r="W640" s="304">
        <f t="shared" ca="1" si="265"/>
        <v>25.395658293215078</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0.31771103562392788</v>
      </c>
      <c r="AH640" s="304">
        <f t="shared" ca="1" si="289"/>
        <v>-9.4784521118999905</v>
      </c>
    </row>
    <row r="641" spans="1:34" x14ac:dyDescent="0.2">
      <c r="A641" s="347">
        <f t="shared" ca="1" si="267"/>
        <v>1E-4</v>
      </c>
      <c r="B641" s="304">
        <f t="shared" ca="1" si="268"/>
        <v>36.612300000000616</v>
      </c>
      <c r="D641" s="306">
        <f t="shared" ca="1" si="269"/>
        <v>-0.50324544708196151</v>
      </c>
      <c r="E641" s="307">
        <f t="shared" ca="1" si="270"/>
        <v>-0.34490135096605457</v>
      </c>
      <c r="F641" s="304">
        <f t="shared" ca="1" si="271"/>
        <v>0.61009255191891409</v>
      </c>
      <c r="G641" s="306">
        <f t="shared" ca="1" si="272"/>
        <v>5.339529211500663</v>
      </c>
      <c r="H641" s="307">
        <f t="shared" ca="1" si="273"/>
        <v>-100.4274647750655</v>
      </c>
      <c r="I641" s="304">
        <f t="shared" ca="1" si="274"/>
        <v>100.56931069340931</v>
      </c>
      <c r="J641" s="306">
        <f t="shared" ca="1" si="275"/>
        <v>711.72888807733182</v>
      </c>
      <c r="K641" s="307">
        <f t="shared" ca="1" si="276"/>
        <v>-9.6773119716772733</v>
      </c>
      <c r="L641" s="304">
        <f t="shared" ca="1" si="261"/>
        <v>711.79467579547986</v>
      </c>
      <c r="M641" s="306">
        <f t="shared" ca="1" si="277"/>
        <v>-1.517678323550306</v>
      </c>
      <c r="N641" s="304">
        <f t="shared" ca="1" si="278"/>
        <v>-86.956562597922741</v>
      </c>
      <c r="P641" s="310">
        <f t="shared" ca="1" si="279"/>
        <v>23</v>
      </c>
      <c r="Q641" s="304">
        <f t="shared" ca="1" si="280"/>
        <v>0</v>
      </c>
      <c r="R641" s="306">
        <f t="shared" ca="1" si="281"/>
        <v>0</v>
      </c>
      <c r="S641" s="307">
        <f t="shared" ca="1" si="282"/>
        <v>2.6792999999999987</v>
      </c>
      <c r="T641" s="304">
        <f t="shared" ca="1" si="262"/>
        <v>26.283932999999987</v>
      </c>
      <c r="U641" s="311">
        <f t="shared" ca="1" si="263"/>
        <v>0</v>
      </c>
      <c r="V641" s="306">
        <f t="shared" ca="1" si="264"/>
        <v>1.2261860446027124</v>
      </c>
      <c r="W641" s="304">
        <f t="shared" ca="1" si="265"/>
        <v>25.395699842318621</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0.31769579766678291</v>
      </c>
      <c r="AH641" s="304">
        <f t="shared" ca="1" si="289"/>
        <v>-9.478467619607768</v>
      </c>
    </row>
    <row r="642" spans="1:34" x14ac:dyDescent="0.2">
      <c r="A642" s="347">
        <f t="shared" ca="1" si="267"/>
        <v>1E-4</v>
      </c>
      <c r="B642" s="304">
        <f t="shared" ca="1" si="268"/>
        <v>36.612400000000619</v>
      </c>
      <c r="D642" s="306">
        <f t="shared" ca="1" si="269"/>
        <v>-0.50324136845200929</v>
      </c>
      <c r="E642" s="307">
        <f t="shared" ca="1" si="270"/>
        <v>-0.34488560476176389</v>
      </c>
      <c r="F642" s="304">
        <f t="shared" ca="1" si="271"/>
        <v>0.61008028594057895</v>
      </c>
      <c r="G642" s="306">
        <f t="shared" ca="1" si="272"/>
        <v>5.3394788873638177</v>
      </c>
      <c r="H642" s="307">
        <f t="shared" ca="1" si="273"/>
        <v>-100.42749926362598</v>
      </c>
      <c r="I642" s="304">
        <f t="shared" ca="1" si="274"/>
        <v>100.56934246147878</v>
      </c>
      <c r="J642" s="306">
        <f t="shared" ca="1" si="275"/>
        <v>711.72888807733182</v>
      </c>
      <c r="K642" s="307">
        <f t="shared" ca="1" si="276"/>
        <v>-9.6873547198792078</v>
      </c>
      <c r="L642" s="304">
        <f t="shared" ca="1" si="261"/>
        <v>711.79481240401287</v>
      </c>
      <c r="M642" s="306">
        <f t="shared" ca="1" si="277"/>
        <v>-1.5176788414443183</v>
      </c>
      <c r="N642" s="304">
        <f t="shared" ca="1" si="278"/>
        <v>-86.956592271063883</v>
      </c>
      <c r="P642" s="310">
        <f t="shared" ca="1" si="279"/>
        <v>23</v>
      </c>
      <c r="Q642" s="304">
        <f t="shared" ca="1" si="280"/>
        <v>0</v>
      </c>
      <c r="R642" s="306">
        <f t="shared" ca="1" si="281"/>
        <v>0</v>
      </c>
      <c r="S642" s="307">
        <f t="shared" ca="1" si="282"/>
        <v>2.6792999999999987</v>
      </c>
      <c r="T642" s="304">
        <f t="shared" ca="1" si="262"/>
        <v>26.283932999999987</v>
      </c>
      <c r="U642" s="311">
        <f t="shared" ca="1" si="263"/>
        <v>0</v>
      </c>
      <c r="V642" s="306">
        <f t="shared" ca="1" si="264"/>
        <v>1.2261872760313883</v>
      </c>
      <c r="W642" s="304">
        <f t="shared" ca="1" si="265"/>
        <v>25.395741390724258</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0.31768055996477784</v>
      </c>
      <c r="AH642" s="304">
        <f t="shared" ca="1" si="289"/>
        <v>-9.478483127055064</v>
      </c>
    </row>
    <row r="643" spans="1:34" x14ac:dyDescent="0.2">
      <c r="A643" s="347">
        <f t="shared" ca="1" si="267"/>
        <v>1E-4</v>
      </c>
      <c r="B643" s="304">
        <f t="shared" ca="1" si="268"/>
        <v>36.612500000000622</v>
      </c>
      <c r="D643" s="306">
        <f t="shared" ca="1" si="269"/>
        <v>-0.50323728984135185</v>
      </c>
      <c r="E643" s="307">
        <f t="shared" ca="1" si="270"/>
        <v>-0.34486985882189103</v>
      </c>
      <c r="F643" s="304">
        <f t="shared" ca="1" si="271"/>
        <v>0.6100680203147022</v>
      </c>
      <c r="G643" s="306">
        <f t="shared" ca="1" si="272"/>
        <v>5.3394285636348338</v>
      </c>
      <c r="H643" s="307">
        <f t="shared" ca="1" si="273"/>
        <v>-100.42753375061186</v>
      </c>
      <c r="I643" s="304">
        <f t="shared" ca="1" si="274"/>
        <v>100.56937422802453</v>
      </c>
      <c r="J643" s="306">
        <f t="shared" ca="1" si="275"/>
        <v>711.72888807733182</v>
      </c>
      <c r="K643" s="307">
        <f t="shared" ca="1" si="276"/>
        <v>-9.6973974715299196</v>
      </c>
      <c r="L643" s="304">
        <f t="shared" ca="1" si="261"/>
        <v>711.79494915426028</v>
      </c>
      <c r="M643" s="306">
        <f t="shared" ca="1" si="277"/>
        <v>-1.5176793593331226</v>
      </c>
      <c r="N643" s="304">
        <f t="shared" ca="1" si="278"/>
        <v>-86.956621943906626</v>
      </c>
      <c r="P643" s="310">
        <f t="shared" ca="1" si="279"/>
        <v>23</v>
      </c>
      <c r="Q643" s="304">
        <f t="shared" ca="1" si="280"/>
        <v>0</v>
      </c>
      <c r="R643" s="306">
        <f t="shared" ca="1" si="281"/>
        <v>0</v>
      </c>
      <c r="S643" s="307">
        <f t="shared" ca="1" si="282"/>
        <v>2.6792999999999987</v>
      </c>
      <c r="T643" s="304">
        <f t="shared" ca="1" si="262"/>
        <v>26.283932999999987</v>
      </c>
      <c r="U643" s="311">
        <f t="shared" ca="1" si="263"/>
        <v>0</v>
      </c>
      <c r="V643" s="306">
        <f t="shared" ca="1" si="264"/>
        <v>1.2261885074617251</v>
      </c>
      <c r="W643" s="304">
        <f t="shared" ca="1" si="265"/>
        <v>25.395782938432045</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0.31766532251791446</v>
      </c>
      <c r="AH643" s="304">
        <f t="shared" ca="1" si="289"/>
        <v>-9.4784986342418804</v>
      </c>
    </row>
    <row r="644" spans="1:34" x14ac:dyDescent="0.2">
      <c r="A644" s="347">
        <f t="shared" ca="1" si="267"/>
        <v>1E-4</v>
      </c>
      <c r="B644" s="304">
        <f t="shared" ca="1" si="268"/>
        <v>36.612600000000626</v>
      </c>
      <c r="D644" s="306">
        <f t="shared" ca="1" si="269"/>
        <v>-0.50323321124998666</v>
      </c>
      <c r="E644" s="307">
        <f t="shared" ca="1" si="270"/>
        <v>-0.34485411314642</v>
      </c>
      <c r="F644" s="304">
        <f t="shared" ca="1" si="271"/>
        <v>0.61005575504127285</v>
      </c>
      <c r="G644" s="306">
        <f t="shared" ca="1" si="272"/>
        <v>5.3393782403137084</v>
      </c>
      <c r="H644" s="307">
        <f t="shared" ca="1" si="273"/>
        <v>-100.42756823602318</v>
      </c>
      <c r="I644" s="304">
        <f t="shared" ca="1" si="274"/>
        <v>100.56940599304656</v>
      </c>
      <c r="J644" s="306">
        <f t="shared" ca="1" si="275"/>
        <v>711.72888807733182</v>
      </c>
      <c r="K644" s="307">
        <f t="shared" ca="1" si="276"/>
        <v>-9.7074402266292505</v>
      </c>
      <c r="L644" s="304">
        <f t="shared" ref="L644:L707" ca="1" si="290">SQRT(pos_x^2+pos_z^2)</f>
        <v>711.79508604622208</v>
      </c>
      <c r="M644" s="306">
        <f t="shared" ca="1" si="277"/>
        <v>-1.5176798772167188</v>
      </c>
      <c r="N644" s="304">
        <f t="shared" ca="1" si="278"/>
        <v>-86.956651616450969</v>
      </c>
      <c r="P644" s="310">
        <f t="shared" ca="1" si="279"/>
        <v>23</v>
      </c>
      <c r="Q644" s="304">
        <f t="shared" ca="1" si="280"/>
        <v>0</v>
      </c>
      <c r="R644" s="306">
        <f t="shared" ca="1" si="281"/>
        <v>0</v>
      </c>
      <c r="S644" s="307">
        <f t="shared" ca="1" si="282"/>
        <v>2.6792999999999987</v>
      </c>
      <c r="T644" s="304">
        <f t="shared" ref="T644:T707" ca="1" si="291">m*g</f>
        <v>26.283932999999987</v>
      </c>
      <c r="U644" s="311">
        <f t="shared" ref="U644:U707" ca="1" si="292">IF(pos_xz&lt;L_rampe,Poids*COS(Beta),0)</f>
        <v>0</v>
      </c>
      <c r="V644" s="306">
        <f t="shared" ref="V644:V707" ca="1" si="293">Rho_moyen*(20000-Alt_rampe-pos_z)/(20000+Alt_rampe+pos_z)</f>
        <v>1.226189738893722</v>
      </c>
      <c r="W644" s="304">
        <f t="shared" ref="W644:W707" ca="1" si="294">1/2*Rho*Sref*Cx*vit_xz^2</f>
        <v>25.395824485441963</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0.31765008532616967</v>
      </c>
      <c r="AH644" s="304">
        <f t="shared" ca="1" si="289"/>
        <v>-9.4785141411682368</v>
      </c>
    </row>
    <row r="645" spans="1:34" x14ac:dyDescent="0.2">
      <c r="A645" s="347">
        <f t="shared" ref="A645:A708" ca="1" si="296">IF(B644+0.01&lt;=T_ini+ROUNDUP(Temps_fin_propu,0), 0.01, IF(K644&gt;0, 0.1, 0.0001))</f>
        <v>1E-4</v>
      </c>
      <c r="B645" s="304">
        <f t="shared" ref="B645:B708" ca="1" si="297">B644+pas</f>
        <v>36.612700000000629</v>
      </c>
      <c r="D645" s="306">
        <f t="shared" ref="D645:D708" ca="1" si="298">IF(AND(L644&lt;L_rampe,Poussee&lt;Poids*SIN(M644)),0,(-W644+Poussee)/m*COS(M644)-U644/m*SIN(M644))</f>
        <v>-0.5032291326779138</v>
      </c>
      <c r="E645" s="307">
        <f t="shared" ref="E645:E708" ca="1" si="299">IF(AND(L644&lt;L_rampe,Poussee&lt;Poids*SIN(M644)),0,(-W644+Poussee)/m*SIN(M644)+U644/m*COS(M644)-Poids/m)</f>
        <v>-0.34483836773535259</v>
      </c>
      <c r="F645" s="304">
        <f t="shared" ref="F645:F708" ca="1" si="300">SQRT(acc_x^2+acc_z^2)</f>
        <v>0.61004349012029269</v>
      </c>
      <c r="G645" s="306">
        <f t="shared" ref="G645:G708" ca="1" si="301">G644+acc_x*pas</f>
        <v>5.3393279174004409</v>
      </c>
      <c r="H645" s="307">
        <f t="shared" ref="H645:H708" ca="1" si="302">H644+acc_z*pas</f>
        <v>-100.42760271985995</v>
      </c>
      <c r="I645" s="304">
        <f t="shared" ref="I645:I708" ca="1" si="303">SQRT(vit_x^2+vit_z^2)</f>
        <v>100.56943775654487</v>
      </c>
      <c r="J645" s="306">
        <f t="shared" ref="J645:J708" ca="1" si="304">J644+0.5*(vit_x+G644)*pas*(K644&gt;=0)</f>
        <v>711.72888807733182</v>
      </c>
      <c r="K645" s="307">
        <f t="shared" ref="K645:K708" ca="1" si="305">K644+0.5*(vit_z+H644)*pas</f>
        <v>-9.7174829851770443</v>
      </c>
      <c r="L645" s="304">
        <f t="shared" ca="1" si="290"/>
        <v>711.79522307989839</v>
      </c>
      <c r="M645" s="306">
        <f t="shared" ref="M645:M708" ca="1" si="306">IF(AND(L644&gt;L_rampe,G645&gt;0),ATAN2(G645,H645),$M$4)</f>
        <v>-1.5176803950951068</v>
      </c>
      <c r="N645" s="304">
        <f t="shared" ref="N645:N708" ca="1" si="307">DEGREES(Beta)</f>
        <v>-86.956681288696899</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2.6792999999999987</v>
      </c>
      <c r="T645" s="304">
        <f t="shared" ca="1" si="291"/>
        <v>26.283932999999987</v>
      </c>
      <c r="U645" s="311">
        <f t="shared" ca="1" si="292"/>
        <v>0</v>
      </c>
      <c r="V645" s="306">
        <f t="shared" ca="1" si="293"/>
        <v>1.2261909703273788</v>
      </c>
      <c r="W645" s="304">
        <f t="shared" ca="1" si="294"/>
        <v>25.395866031754018</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0.31763484838955236</v>
      </c>
      <c r="AH645" s="304">
        <f t="shared" ref="AH645:AH708" ca="1" si="318">IF(AND(L644&lt;L_rampe,Poussee&lt;Poids*SIN(M644)), g*SIN(M644), (-W644+Poussee)/m)</f>
        <v>-9.4785296478341259</v>
      </c>
    </row>
    <row r="646" spans="1:34" x14ac:dyDescent="0.2">
      <c r="A646" s="347">
        <f t="shared" ca="1" si="296"/>
        <v>1E-4</v>
      </c>
      <c r="B646" s="304">
        <f t="shared" ca="1" si="297"/>
        <v>36.612800000000632</v>
      </c>
      <c r="D646" s="306">
        <f t="shared" ca="1" si="298"/>
        <v>-0.50322505412513641</v>
      </c>
      <c r="E646" s="307">
        <f t="shared" ca="1" si="299"/>
        <v>-0.34482262258869056</v>
      </c>
      <c r="F646" s="304">
        <f t="shared" ca="1" si="300"/>
        <v>0.61003122555176548</v>
      </c>
      <c r="G646" s="306">
        <f t="shared" ca="1" si="301"/>
        <v>5.3392775948950284</v>
      </c>
      <c r="H646" s="307">
        <f t="shared" ca="1" si="302"/>
        <v>-100.42763720212221</v>
      </c>
      <c r="I646" s="304">
        <f t="shared" ca="1" si="303"/>
        <v>100.56946951851953</v>
      </c>
      <c r="J646" s="306">
        <f t="shared" ca="1" si="304"/>
        <v>711.72888807733182</v>
      </c>
      <c r="K646" s="307">
        <f t="shared" ca="1" si="305"/>
        <v>-9.7275257471731429</v>
      </c>
      <c r="L646" s="304">
        <f t="shared" ca="1" si="290"/>
        <v>711.79536025528921</v>
      </c>
      <c r="M646" s="306">
        <f t="shared" ca="1" si="306"/>
        <v>-1.5176809129682867</v>
      </c>
      <c r="N646" s="304">
        <f t="shared" ca="1" si="307"/>
        <v>-86.956710960644429</v>
      </c>
      <c r="P646" s="310">
        <f t="shared" ca="1" si="308"/>
        <v>23</v>
      </c>
      <c r="Q646" s="304">
        <f t="shared" ca="1" si="309"/>
        <v>0</v>
      </c>
      <c r="R646" s="306">
        <f t="shared" ca="1" si="310"/>
        <v>0</v>
      </c>
      <c r="S646" s="307">
        <f t="shared" ca="1" si="311"/>
        <v>2.6792999999999987</v>
      </c>
      <c r="T646" s="304">
        <f t="shared" ca="1" si="291"/>
        <v>26.283932999999987</v>
      </c>
      <c r="U646" s="311">
        <f t="shared" ca="1" si="292"/>
        <v>0</v>
      </c>
      <c r="V646" s="306">
        <f t="shared" ca="1" si="293"/>
        <v>1.2261922017626961</v>
      </c>
      <c r="W646" s="304">
        <f t="shared" ca="1" si="294"/>
        <v>25.395907577368234</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0.31761961170805719</v>
      </c>
      <c r="AH646" s="304">
        <f t="shared" ca="1" si="318"/>
        <v>-9.4785451542395514</v>
      </c>
    </row>
    <row r="647" spans="1:34" x14ac:dyDescent="0.2">
      <c r="A647" s="347">
        <f t="shared" ca="1" si="296"/>
        <v>1E-4</v>
      </c>
      <c r="B647" s="304">
        <f t="shared" ca="1" si="297"/>
        <v>36.612900000000636</v>
      </c>
      <c r="D647" s="306">
        <f t="shared" ca="1" si="298"/>
        <v>-0.50322097559165335</v>
      </c>
      <c r="E647" s="307">
        <f t="shared" ca="1" si="299"/>
        <v>-0.34480687770642504</v>
      </c>
      <c r="F647" s="304">
        <f t="shared" ca="1" si="300"/>
        <v>0.61001896133568578</v>
      </c>
      <c r="G647" s="306">
        <f t="shared" ca="1" si="301"/>
        <v>5.3392272727974692</v>
      </c>
      <c r="H647" s="307">
        <f t="shared" ca="1" si="302"/>
        <v>-100.42767168280999</v>
      </c>
      <c r="I647" s="304">
        <f t="shared" ca="1" si="303"/>
        <v>100.56950127897055</v>
      </c>
      <c r="J647" s="306">
        <f t="shared" ca="1" si="304"/>
        <v>711.72888807733182</v>
      </c>
      <c r="K647" s="307">
        <f t="shared" ca="1" si="305"/>
        <v>-9.7375685126173899</v>
      </c>
      <c r="L647" s="304">
        <f t="shared" ca="1" si="290"/>
        <v>711.79549757239477</v>
      </c>
      <c r="M647" s="306">
        <f t="shared" ca="1" si="306"/>
        <v>-1.5176814308362585</v>
      </c>
      <c r="N647" s="304">
        <f t="shared" ca="1" si="307"/>
        <v>-86.95674063229356</v>
      </c>
      <c r="P647" s="310">
        <f t="shared" ca="1" si="308"/>
        <v>23</v>
      </c>
      <c r="Q647" s="304">
        <f t="shared" ca="1" si="309"/>
        <v>0</v>
      </c>
      <c r="R647" s="306">
        <f t="shared" ca="1" si="310"/>
        <v>0</v>
      </c>
      <c r="S647" s="307">
        <f t="shared" ca="1" si="311"/>
        <v>2.6792999999999987</v>
      </c>
      <c r="T647" s="304">
        <f t="shared" ca="1" si="291"/>
        <v>26.283932999999987</v>
      </c>
      <c r="U647" s="311">
        <f t="shared" ca="1" si="292"/>
        <v>0</v>
      </c>
      <c r="V647" s="306">
        <f t="shared" ca="1" si="293"/>
        <v>1.2261934331996731</v>
      </c>
      <c r="W647" s="304">
        <f t="shared" ca="1" si="294"/>
        <v>25.395949122284616</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0.31760437528168062</v>
      </c>
      <c r="AH647" s="304">
        <f t="shared" ca="1" si="318"/>
        <v>-9.4785606603845203</v>
      </c>
    </row>
    <row r="648" spans="1:34" x14ac:dyDescent="0.2">
      <c r="A648" s="347">
        <f t="shared" ca="1" si="296"/>
        <v>1E-4</v>
      </c>
      <c r="B648" s="304">
        <f t="shared" ca="1" si="297"/>
        <v>36.613000000000639</v>
      </c>
      <c r="D648" s="306">
        <f t="shared" ca="1" si="298"/>
        <v>-0.50321689707746542</v>
      </c>
      <c r="E648" s="307">
        <f t="shared" ca="1" si="299"/>
        <v>-0.34479113308855069</v>
      </c>
      <c r="F648" s="304">
        <f t="shared" ca="1" si="300"/>
        <v>0.61000669747205161</v>
      </c>
      <c r="G648" s="306">
        <f t="shared" ca="1" si="301"/>
        <v>5.3391769511077616</v>
      </c>
      <c r="H648" s="307">
        <f t="shared" ca="1" si="302"/>
        <v>-100.4277061619233</v>
      </c>
      <c r="I648" s="304">
        <f t="shared" ca="1" si="303"/>
        <v>100.56953303789795</v>
      </c>
      <c r="J648" s="306">
        <f t="shared" ca="1" si="304"/>
        <v>711.72888807733182</v>
      </c>
      <c r="K648" s="307">
        <f t="shared" ca="1" si="305"/>
        <v>-9.7476112815096272</v>
      </c>
      <c r="L648" s="304">
        <f t="shared" ca="1" si="290"/>
        <v>711.79563503121494</v>
      </c>
      <c r="M648" s="306">
        <f t="shared" ca="1" si="306"/>
        <v>-1.5176819486990225</v>
      </c>
      <c r="N648" s="304">
        <f t="shared" ca="1" si="307"/>
        <v>-86.956770303644305</v>
      </c>
      <c r="P648" s="310">
        <f t="shared" ca="1" si="308"/>
        <v>23</v>
      </c>
      <c r="Q648" s="304">
        <f t="shared" ca="1" si="309"/>
        <v>0</v>
      </c>
      <c r="R648" s="306">
        <f t="shared" ca="1" si="310"/>
        <v>0</v>
      </c>
      <c r="S648" s="307">
        <f t="shared" ca="1" si="311"/>
        <v>2.6792999999999987</v>
      </c>
      <c r="T648" s="304">
        <f t="shared" ca="1" si="291"/>
        <v>26.283932999999987</v>
      </c>
      <c r="U648" s="311">
        <f t="shared" ca="1" si="292"/>
        <v>0</v>
      </c>
      <c r="V648" s="306">
        <f t="shared" ca="1" si="293"/>
        <v>1.2261946646383104</v>
      </c>
      <c r="W648" s="304">
        <f t="shared" ca="1" si="294"/>
        <v>25.395990666503167</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0.31758913911041731</v>
      </c>
      <c r="AH648" s="304">
        <f t="shared" ca="1" si="318"/>
        <v>-9.4785761662690362</v>
      </c>
    </row>
    <row r="649" spans="1:34" x14ac:dyDescent="0.2">
      <c r="A649" s="347">
        <f t="shared" ca="1" si="296"/>
        <v>1E-4</v>
      </c>
      <c r="B649" s="304">
        <f t="shared" ca="1" si="297"/>
        <v>36.613100000000642</v>
      </c>
      <c r="D649" s="306">
        <f t="shared" ca="1" si="298"/>
        <v>-0.50321281858257128</v>
      </c>
      <c r="E649" s="307">
        <f t="shared" ca="1" si="299"/>
        <v>-0.34477538873506752</v>
      </c>
      <c r="F649" s="304">
        <f t="shared" ca="1" si="300"/>
        <v>0.60999443396086228</v>
      </c>
      <c r="G649" s="306">
        <f t="shared" ca="1" si="301"/>
        <v>5.3391266298259037</v>
      </c>
      <c r="H649" s="307">
        <f t="shared" ca="1" si="302"/>
        <v>-100.42774063946217</v>
      </c>
      <c r="I649" s="304">
        <f t="shared" ca="1" si="303"/>
        <v>100.56956479530174</v>
      </c>
      <c r="J649" s="306">
        <f t="shared" ca="1" si="304"/>
        <v>711.72888807733182</v>
      </c>
      <c r="K649" s="307">
        <f t="shared" ca="1" si="305"/>
        <v>-9.7576540538496968</v>
      </c>
      <c r="L649" s="304">
        <f t="shared" ca="1" si="290"/>
        <v>711.79577263174986</v>
      </c>
      <c r="M649" s="306">
        <f t="shared" ca="1" si="306"/>
        <v>-1.5176824665565787</v>
      </c>
      <c r="N649" s="304">
        <f t="shared" ca="1" si="307"/>
        <v>-86.956799974696665</v>
      </c>
      <c r="P649" s="310">
        <f t="shared" ca="1" si="308"/>
        <v>23</v>
      </c>
      <c r="Q649" s="304">
        <f t="shared" ca="1" si="309"/>
        <v>0</v>
      </c>
      <c r="R649" s="306">
        <f t="shared" ca="1" si="310"/>
        <v>0</v>
      </c>
      <c r="S649" s="307">
        <f t="shared" ca="1" si="311"/>
        <v>2.6792999999999987</v>
      </c>
      <c r="T649" s="304">
        <f t="shared" ca="1" si="291"/>
        <v>26.283932999999987</v>
      </c>
      <c r="U649" s="311">
        <f t="shared" ca="1" si="292"/>
        <v>0</v>
      </c>
      <c r="V649" s="306">
        <f t="shared" ca="1" si="293"/>
        <v>1.2261958960786077</v>
      </c>
      <c r="W649" s="304">
        <f t="shared" ca="1" si="294"/>
        <v>25.39603221002389</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0.31757390319426726</v>
      </c>
      <c r="AH649" s="304">
        <f t="shared" ca="1" si="318"/>
        <v>-9.4785916718930991</v>
      </c>
    </row>
    <row r="650" spans="1:34" x14ac:dyDescent="0.2">
      <c r="A650" s="347">
        <f t="shared" ca="1" si="296"/>
        <v>1E-4</v>
      </c>
      <c r="B650" s="304">
        <f t="shared" ca="1" si="297"/>
        <v>36.613200000000646</v>
      </c>
      <c r="D650" s="306">
        <f t="shared" ca="1" si="298"/>
        <v>-0.50320874010697136</v>
      </c>
      <c r="E650" s="307">
        <f t="shared" ca="1" si="299"/>
        <v>-0.3447596446459773</v>
      </c>
      <c r="F650" s="304">
        <f t="shared" ca="1" si="300"/>
        <v>0.60998217080211947</v>
      </c>
      <c r="G650" s="306">
        <f t="shared" ca="1" si="301"/>
        <v>5.3390763089518929</v>
      </c>
      <c r="H650" s="307">
        <f t="shared" ca="1" si="302"/>
        <v>-100.42777511542664</v>
      </c>
      <c r="I650" s="304">
        <f t="shared" ca="1" si="303"/>
        <v>100.569596551182</v>
      </c>
      <c r="J650" s="306">
        <f t="shared" ca="1" si="304"/>
        <v>711.72888807733182</v>
      </c>
      <c r="K650" s="307">
        <f t="shared" ca="1" si="305"/>
        <v>-9.7676968296374405</v>
      </c>
      <c r="L650" s="304">
        <f t="shared" ca="1" si="290"/>
        <v>711.79591037399962</v>
      </c>
      <c r="M650" s="306">
        <f t="shared" ca="1" si="306"/>
        <v>-1.517682984408927</v>
      </c>
      <c r="N650" s="304">
        <f t="shared" ca="1" si="307"/>
        <v>-86.95682964545064</v>
      </c>
      <c r="P650" s="310">
        <f t="shared" ca="1" si="308"/>
        <v>23</v>
      </c>
      <c r="Q650" s="304">
        <f t="shared" ca="1" si="309"/>
        <v>0</v>
      </c>
      <c r="R650" s="306">
        <f t="shared" ca="1" si="310"/>
        <v>0</v>
      </c>
      <c r="S650" s="307">
        <f t="shared" ca="1" si="311"/>
        <v>2.6792999999999987</v>
      </c>
      <c r="T650" s="304">
        <f t="shared" ca="1" si="291"/>
        <v>26.283932999999987</v>
      </c>
      <c r="U650" s="311">
        <f t="shared" ca="1" si="292"/>
        <v>0</v>
      </c>
      <c r="V650" s="306">
        <f t="shared" ca="1" si="293"/>
        <v>1.226197127520565</v>
      </c>
      <c r="W650" s="304">
        <f t="shared" ca="1" si="294"/>
        <v>25.396073752846821</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0.31755866753323225</v>
      </c>
      <c r="AH650" s="304">
        <f t="shared" ca="1" si="318"/>
        <v>-9.4786071772567091</v>
      </c>
    </row>
    <row r="651" spans="1:34" x14ac:dyDescent="0.2">
      <c r="A651" s="347">
        <f t="shared" ca="1" si="296"/>
        <v>1E-4</v>
      </c>
      <c r="B651" s="304">
        <f t="shared" ca="1" si="297"/>
        <v>36.613300000000649</v>
      </c>
      <c r="D651" s="306">
        <f t="shared" ca="1" si="298"/>
        <v>-0.50320466165066735</v>
      </c>
      <c r="E651" s="307">
        <f t="shared" ca="1" si="299"/>
        <v>-0.34474390082126405</v>
      </c>
      <c r="F651" s="304">
        <f t="shared" ca="1" si="300"/>
        <v>0.60996990799581596</v>
      </c>
      <c r="G651" s="306">
        <f t="shared" ca="1" si="301"/>
        <v>5.3390259884857274</v>
      </c>
      <c r="H651" s="307">
        <f t="shared" ca="1" si="302"/>
        <v>-100.42780958981672</v>
      </c>
      <c r="I651" s="304">
        <f t="shared" ca="1" si="303"/>
        <v>100.56962830553869</v>
      </c>
      <c r="J651" s="306">
        <f t="shared" ca="1" si="304"/>
        <v>711.72888807733182</v>
      </c>
      <c r="K651" s="307">
        <f t="shared" ca="1" si="305"/>
        <v>-9.777739608872702</v>
      </c>
      <c r="L651" s="304">
        <f t="shared" ca="1" si="290"/>
        <v>711.79604825796412</v>
      </c>
      <c r="M651" s="306">
        <f t="shared" ca="1" si="306"/>
        <v>-1.5176835022560675</v>
      </c>
      <c r="N651" s="304">
        <f t="shared" ca="1" si="307"/>
        <v>-86.956859315906229</v>
      </c>
      <c r="P651" s="310">
        <f t="shared" ca="1" si="308"/>
        <v>23</v>
      </c>
      <c r="Q651" s="304">
        <f t="shared" ca="1" si="309"/>
        <v>0</v>
      </c>
      <c r="R651" s="306">
        <f t="shared" ca="1" si="310"/>
        <v>0</v>
      </c>
      <c r="S651" s="307">
        <f t="shared" ca="1" si="311"/>
        <v>2.6792999999999987</v>
      </c>
      <c r="T651" s="304">
        <f t="shared" ca="1" si="291"/>
        <v>26.283932999999987</v>
      </c>
      <c r="U651" s="311">
        <f t="shared" ca="1" si="292"/>
        <v>0</v>
      </c>
      <c r="V651" s="306">
        <f t="shared" ca="1" si="293"/>
        <v>1.2261983589641823</v>
      </c>
      <c r="W651" s="304">
        <f t="shared" ca="1" si="294"/>
        <v>25.396115294971942</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0.31754343212729275</v>
      </c>
      <c r="AH651" s="304">
        <f t="shared" ca="1" si="318"/>
        <v>-9.478622682359882</v>
      </c>
    </row>
    <row r="652" spans="1:34" x14ac:dyDescent="0.2">
      <c r="A652" s="347">
        <f t="shared" ca="1" si="296"/>
        <v>1E-4</v>
      </c>
      <c r="B652" s="304">
        <f t="shared" ca="1" si="297"/>
        <v>36.613400000000652</v>
      </c>
      <c r="D652" s="306">
        <f t="shared" ca="1" si="298"/>
        <v>-0.50320058321365957</v>
      </c>
      <c r="E652" s="307">
        <f t="shared" ca="1" si="299"/>
        <v>-0.34472815726093309</v>
      </c>
      <c r="F652" s="304">
        <f t="shared" ca="1" si="300"/>
        <v>0.60995764554195542</v>
      </c>
      <c r="G652" s="306">
        <f t="shared" ca="1" si="301"/>
        <v>5.3389756684274063</v>
      </c>
      <c r="H652" s="307">
        <f t="shared" ca="1" si="302"/>
        <v>-100.42784406263245</v>
      </c>
      <c r="I652" s="304">
        <f t="shared" ca="1" si="303"/>
        <v>100.56966005837188</v>
      </c>
      <c r="J652" s="306">
        <f t="shared" ca="1" si="304"/>
        <v>711.72888807733182</v>
      </c>
      <c r="K652" s="307">
        <f t="shared" ca="1" si="305"/>
        <v>-9.787782391555325</v>
      </c>
      <c r="L652" s="304">
        <f t="shared" ca="1" si="290"/>
        <v>711.79618628364369</v>
      </c>
      <c r="M652" s="306">
        <f t="shared" ca="1" si="306"/>
        <v>-1.5176840200980004</v>
      </c>
      <c r="N652" s="304">
        <f t="shared" ca="1" si="307"/>
        <v>-86.956888986063433</v>
      </c>
      <c r="P652" s="310">
        <f t="shared" ca="1" si="308"/>
        <v>23</v>
      </c>
      <c r="Q652" s="304">
        <f t="shared" ca="1" si="309"/>
        <v>0</v>
      </c>
      <c r="R652" s="306">
        <f t="shared" ca="1" si="310"/>
        <v>0</v>
      </c>
      <c r="S652" s="307">
        <f t="shared" ca="1" si="311"/>
        <v>2.6792999999999987</v>
      </c>
      <c r="T652" s="304">
        <f t="shared" ca="1" si="291"/>
        <v>26.283932999999987</v>
      </c>
      <c r="U652" s="311">
        <f t="shared" ca="1" si="292"/>
        <v>0</v>
      </c>
      <c r="V652" s="306">
        <f t="shared" ca="1" si="293"/>
        <v>1.22619959040946</v>
      </c>
      <c r="W652" s="304">
        <f t="shared" ca="1" si="294"/>
        <v>25.396156836399289</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0.3175281969764594</v>
      </c>
      <c r="AH652" s="304">
        <f t="shared" ca="1" si="318"/>
        <v>-9.4786381872026109</v>
      </c>
    </row>
    <row r="653" spans="1:34" x14ac:dyDescent="0.2">
      <c r="A653" s="347">
        <f t="shared" ca="1" si="296"/>
        <v>1E-4</v>
      </c>
      <c r="B653" s="304">
        <f t="shared" ca="1" si="297"/>
        <v>36.613500000000656</v>
      </c>
      <c r="D653" s="306">
        <f t="shared" ca="1" si="298"/>
        <v>-0.50319650479594702</v>
      </c>
      <c r="E653" s="307">
        <f t="shared" ca="1" si="299"/>
        <v>-0.34471241396497376</v>
      </c>
      <c r="F653" s="304">
        <f t="shared" ca="1" si="300"/>
        <v>0.60994538344053151</v>
      </c>
      <c r="G653" s="306">
        <f t="shared" ca="1" si="301"/>
        <v>5.338925348776927</v>
      </c>
      <c r="H653" s="307">
        <f t="shared" ca="1" si="302"/>
        <v>-100.42787853387384</v>
      </c>
      <c r="I653" s="304">
        <f t="shared" ca="1" si="303"/>
        <v>100.56969180968157</v>
      </c>
      <c r="J653" s="306">
        <f t="shared" ca="1" si="304"/>
        <v>711.72888807733182</v>
      </c>
      <c r="K653" s="307">
        <f t="shared" ca="1" si="305"/>
        <v>-9.7978251776851497</v>
      </c>
      <c r="L653" s="304">
        <f t="shared" ca="1" si="290"/>
        <v>711.79632445103812</v>
      </c>
      <c r="M653" s="306">
        <f t="shared" ca="1" si="306"/>
        <v>-1.5176845379347257</v>
      </c>
      <c r="N653" s="304">
        <f t="shared" ca="1" si="307"/>
        <v>-86.956918655922266</v>
      </c>
      <c r="P653" s="310">
        <f t="shared" ca="1" si="308"/>
        <v>23</v>
      </c>
      <c r="Q653" s="304">
        <f t="shared" ca="1" si="309"/>
        <v>0</v>
      </c>
      <c r="R653" s="306">
        <f t="shared" ca="1" si="310"/>
        <v>0</v>
      </c>
      <c r="S653" s="307">
        <f t="shared" ca="1" si="311"/>
        <v>2.6792999999999987</v>
      </c>
      <c r="T653" s="304">
        <f t="shared" ca="1" si="291"/>
        <v>26.283932999999987</v>
      </c>
      <c r="U653" s="311">
        <f t="shared" ca="1" si="292"/>
        <v>0</v>
      </c>
      <c r="V653" s="306">
        <f t="shared" ca="1" si="293"/>
        <v>1.2262008218563973</v>
      </c>
      <c r="W653" s="304">
        <f t="shared" ca="1" si="294"/>
        <v>25.396198377128851</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0.31751296208071977</v>
      </c>
      <c r="AH653" s="304">
        <f t="shared" ca="1" si="318"/>
        <v>-9.4786536917849062</v>
      </c>
    </row>
    <row r="654" spans="1:34" x14ac:dyDescent="0.2">
      <c r="A654" s="347">
        <f t="shared" ca="1" si="296"/>
        <v>1E-4</v>
      </c>
      <c r="B654" s="304">
        <f t="shared" ca="1" si="297"/>
        <v>36.613600000000659</v>
      </c>
      <c r="D654" s="306">
        <f t="shared" ca="1" si="298"/>
        <v>-0.50319242639753037</v>
      </c>
      <c r="E654" s="307">
        <f t="shared" ca="1" si="299"/>
        <v>-0.34469667093338785</v>
      </c>
      <c r="F654" s="304">
        <f t="shared" ca="1" si="300"/>
        <v>0.60993312169154601</v>
      </c>
      <c r="G654" s="306">
        <f t="shared" ca="1" si="301"/>
        <v>5.3388750295342877</v>
      </c>
      <c r="H654" s="307">
        <f t="shared" ca="1" si="302"/>
        <v>-100.42791300354094</v>
      </c>
      <c r="I654" s="304">
        <f t="shared" ca="1" si="303"/>
        <v>100.56972355946779</v>
      </c>
      <c r="J654" s="306">
        <f t="shared" ca="1" si="304"/>
        <v>711.72888807733182</v>
      </c>
      <c r="K654" s="307">
        <f t="shared" ca="1" si="305"/>
        <v>-9.8078679672620197</v>
      </c>
      <c r="L654" s="304">
        <f t="shared" ca="1" si="290"/>
        <v>711.79646276014773</v>
      </c>
      <c r="M654" s="306">
        <f t="shared" ca="1" si="306"/>
        <v>-1.5176850557662436</v>
      </c>
      <c r="N654" s="304">
        <f t="shared" ca="1" si="307"/>
        <v>-86.956948325482742</v>
      </c>
      <c r="P654" s="310">
        <f t="shared" ca="1" si="308"/>
        <v>23</v>
      </c>
      <c r="Q654" s="304">
        <f t="shared" ca="1" si="309"/>
        <v>0</v>
      </c>
      <c r="R654" s="306">
        <f t="shared" ca="1" si="310"/>
        <v>0</v>
      </c>
      <c r="S654" s="307">
        <f t="shared" ca="1" si="311"/>
        <v>2.6792999999999987</v>
      </c>
      <c r="T654" s="304">
        <f t="shared" ca="1" si="291"/>
        <v>26.283932999999987</v>
      </c>
      <c r="U654" s="311">
        <f t="shared" ca="1" si="292"/>
        <v>0</v>
      </c>
      <c r="V654" s="306">
        <f t="shared" ca="1" si="293"/>
        <v>1.2262020533049949</v>
      </c>
      <c r="W654" s="304">
        <f t="shared" ca="1" si="294"/>
        <v>25.396239917160639</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0.31749772744007565</v>
      </c>
      <c r="AH654" s="304">
        <f t="shared" ca="1" si="318"/>
        <v>-9.4786691961067682</v>
      </c>
    </row>
    <row r="655" spans="1:34" x14ac:dyDescent="0.2">
      <c r="A655" s="347">
        <f t="shared" ca="1" si="296"/>
        <v>1E-4</v>
      </c>
      <c r="B655" s="304">
        <f t="shared" ca="1" si="297"/>
        <v>36.613700000000662</v>
      </c>
      <c r="D655" s="306">
        <f t="shared" ca="1" si="298"/>
        <v>-0.50318834801840806</v>
      </c>
      <c r="E655" s="307">
        <f t="shared" ca="1" si="299"/>
        <v>-0.34468092816617535</v>
      </c>
      <c r="F655" s="304">
        <f t="shared" ca="1" si="300"/>
        <v>0.60992086029499815</v>
      </c>
      <c r="G655" s="306">
        <f t="shared" ca="1" si="301"/>
        <v>5.3388247106994857</v>
      </c>
      <c r="H655" s="307">
        <f t="shared" ca="1" si="302"/>
        <v>-100.42794747163376</v>
      </c>
      <c r="I655" s="304">
        <f t="shared" ca="1" si="303"/>
        <v>100.56975530773059</v>
      </c>
      <c r="J655" s="306">
        <f t="shared" ca="1" si="304"/>
        <v>711.72888807733182</v>
      </c>
      <c r="K655" s="307">
        <f t="shared" ca="1" si="305"/>
        <v>-9.8179107602857787</v>
      </c>
      <c r="L655" s="304">
        <f t="shared" ca="1" si="290"/>
        <v>711.79660121097243</v>
      </c>
      <c r="M655" s="306">
        <f t="shared" ca="1" si="306"/>
        <v>-1.5176855735925536</v>
      </c>
      <c r="N655" s="304">
        <f t="shared" ca="1" si="307"/>
        <v>-86.956977994744832</v>
      </c>
      <c r="P655" s="310">
        <f t="shared" ca="1" si="308"/>
        <v>23</v>
      </c>
      <c r="Q655" s="304">
        <f t="shared" ca="1" si="309"/>
        <v>0</v>
      </c>
      <c r="R655" s="306">
        <f t="shared" ca="1" si="310"/>
        <v>0</v>
      </c>
      <c r="S655" s="307">
        <f t="shared" ca="1" si="311"/>
        <v>2.6792999999999987</v>
      </c>
      <c r="T655" s="304">
        <f t="shared" ca="1" si="291"/>
        <v>26.283932999999987</v>
      </c>
      <c r="U655" s="311">
        <f t="shared" ca="1" si="292"/>
        <v>0</v>
      </c>
      <c r="V655" s="306">
        <f t="shared" ca="1" si="293"/>
        <v>1.2262032847552522</v>
      </c>
      <c r="W655" s="304">
        <f t="shared" ca="1" si="294"/>
        <v>25.396281456494673</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0.31748249305452525</v>
      </c>
      <c r="AH655" s="304">
        <f t="shared" ca="1" si="318"/>
        <v>-9.4786847001681966</v>
      </c>
    </row>
    <row r="656" spans="1:34" x14ac:dyDescent="0.2">
      <c r="A656" s="347">
        <f t="shared" ca="1" si="296"/>
        <v>1E-4</v>
      </c>
      <c r="B656" s="304">
        <f t="shared" ca="1" si="297"/>
        <v>36.613800000000666</v>
      </c>
      <c r="D656" s="306">
        <f t="shared" ca="1" si="298"/>
        <v>-0.50318426965858576</v>
      </c>
      <c r="E656" s="307">
        <f t="shared" ca="1" si="299"/>
        <v>-0.34466518566332205</v>
      </c>
      <c r="F656" s="304">
        <f t="shared" ca="1" si="300"/>
        <v>0.60990859925088492</v>
      </c>
      <c r="G656" s="306">
        <f t="shared" ca="1" si="301"/>
        <v>5.3387743922725202</v>
      </c>
      <c r="H656" s="307">
        <f t="shared" ca="1" si="302"/>
        <v>-100.42798193815233</v>
      </c>
      <c r="I656" s="304">
        <f t="shared" ca="1" si="303"/>
        <v>100.56978705446996</v>
      </c>
      <c r="J656" s="306">
        <f t="shared" ca="1" si="304"/>
        <v>711.72888807733182</v>
      </c>
      <c r="K656" s="307">
        <f t="shared" ca="1" si="305"/>
        <v>-9.8279535567562686</v>
      </c>
      <c r="L656" s="304">
        <f t="shared" ca="1" si="290"/>
        <v>711.7967398035122</v>
      </c>
      <c r="M656" s="306">
        <f t="shared" ca="1" si="306"/>
        <v>-1.5176860914136565</v>
      </c>
      <c r="N656" s="304">
        <f t="shared" ca="1" si="307"/>
        <v>-86.957007663708566</v>
      </c>
      <c r="P656" s="310">
        <f t="shared" ca="1" si="308"/>
        <v>23</v>
      </c>
      <c r="Q656" s="304">
        <f t="shared" ca="1" si="309"/>
        <v>0</v>
      </c>
      <c r="R656" s="306">
        <f t="shared" ca="1" si="310"/>
        <v>0</v>
      </c>
      <c r="S656" s="307">
        <f t="shared" ca="1" si="311"/>
        <v>2.6792999999999987</v>
      </c>
      <c r="T656" s="304">
        <f t="shared" ca="1" si="291"/>
        <v>26.283932999999987</v>
      </c>
      <c r="U656" s="311">
        <f t="shared" ca="1" si="292"/>
        <v>0</v>
      </c>
      <c r="V656" s="306">
        <f t="shared" ca="1" si="293"/>
        <v>1.22620451620717</v>
      </c>
      <c r="W656" s="304">
        <f t="shared" ca="1" si="294"/>
        <v>25.396322995130955</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0.31746725892405792</v>
      </c>
      <c r="AH656" s="304">
        <f t="shared" ca="1" si="318"/>
        <v>-9.4787002039692023</v>
      </c>
    </row>
    <row r="657" spans="1:34" x14ac:dyDescent="0.2">
      <c r="A657" s="347">
        <f t="shared" ca="1" si="296"/>
        <v>1E-4</v>
      </c>
      <c r="B657" s="304">
        <f t="shared" ca="1" si="297"/>
        <v>36.613900000000669</v>
      </c>
      <c r="D657" s="306">
        <f t="shared" ca="1" si="298"/>
        <v>-0.50318019131805769</v>
      </c>
      <c r="E657" s="307">
        <f t="shared" ca="1" si="299"/>
        <v>-0.34464944342483328</v>
      </c>
      <c r="F657" s="304">
        <f t="shared" ca="1" si="300"/>
        <v>0.60989633855920511</v>
      </c>
      <c r="G657" s="306">
        <f t="shared" ca="1" si="301"/>
        <v>5.3387240742533884</v>
      </c>
      <c r="H657" s="307">
        <f t="shared" ca="1" si="302"/>
        <v>-100.42801640309668</v>
      </c>
      <c r="I657" s="304">
        <f t="shared" ca="1" si="303"/>
        <v>100.56981879968596</v>
      </c>
      <c r="J657" s="306">
        <f t="shared" ca="1" si="304"/>
        <v>711.72888807733182</v>
      </c>
      <c r="K657" s="307">
        <f t="shared" ca="1" si="305"/>
        <v>-9.8379963566733313</v>
      </c>
      <c r="L657" s="304">
        <f t="shared" ca="1" si="290"/>
        <v>711.79687853776727</v>
      </c>
      <c r="M657" s="306">
        <f t="shared" ca="1" si="306"/>
        <v>-1.517686609229552</v>
      </c>
      <c r="N657" s="304">
        <f t="shared" ca="1" si="307"/>
        <v>-86.957037332373943</v>
      </c>
      <c r="P657" s="310">
        <f t="shared" ca="1" si="308"/>
        <v>23</v>
      </c>
      <c r="Q657" s="304">
        <f t="shared" ca="1" si="309"/>
        <v>0</v>
      </c>
      <c r="R657" s="306">
        <f t="shared" ca="1" si="310"/>
        <v>0</v>
      </c>
      <c r="S657" s="307">
        <f t="shared" ca="1" si="311"/>
        <v>2.6792999999999987</v>
      </c>
      <c r="T657" s="304">
        <f t="shared" ca="1" si="291"/>
        <v>26.283932999999987</v>
      </c>
      <c r="U657" s="311">
        <f t="shared" ca="1" si="292"/>
        <v>0</v>
      </c>
      <c r="V657" s="306">
        <f t="shared" ca="1" si="293"/>
        <v>1.2262057476607473</v>
      </c>
      <c r="W657" s="304">
        <f t="shared" ca="1" si="294"/>
        <v>25.396364533069505</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0.31745202504867542</v>
      </c>
      <c r="AH657" s="304">
        <f t="shared" ca="1" si="318"/>
        <v>-9.4787157075097852</v>
      </c>
    </row>
    <row r="658" spans="1:34" x14ac:dyDescent="0.2">
      <c r="A658" s="347">
        <f t="shared" ca="1" si="296"/>
        <v>1E-4</v>
      </c>
      <c r="B658" s="304">
        <f t="shared" ca="1" si="297"/>
        <v>36.614000000000672</v>
      </c>
      <c r="D658" s="306">
        <f t="shared" ca="1" si="298"/>
        <v>-0.50317611299682685</v>
      </c>
      <c r="E658" s="307">
        <f t="shared" ca="1" si="299"/>
        <v>-0.34463370145069661</v>
      </c>
      <c r="F658" s="304">
        <f t="shared" ca="1" si="300"/>
        <v>0.60988407821995427</v>
      </c>
      <c r="G658" s="306">
        <f t="shared" ca="1" si="301"/>
        <v>5.3386737566420885</v>
      </c>
      <c r="H658" s="307">
        <f t="shared" ca="1" si="302"/>
        <v>-100.42805086646682</v>
      </c>
      <c r="I658" s="304">
        <f t="shared" ca="1" si="303"/>
        <v>100.56985054337859</v>
      </c>
      <c r="J658" s="306">
        <f t="shared" ca="1" si="304"/>
        <v>711.72888807733182</v>
      </c>
      <c r="K658" s="307">
        <f t="shared" ca="1" si="305"/>
        <v>-9.8480391600368087</v>
      </c>
      <c r="L658" s="304">
        <f t="shared" ca="1" si="290"/>
        <v>711.79701741373765</v>
      </c>
      <c r="M658" s="306">
        <f t="shared" ca="1" si="306"/>
        <v>-1.5176871270402401</v>
      </c>
      <c r="N658" s="304">
        <f t="shared" ca="1" si="307"/>
        <v>-86.957067000740963</v>
      </c>
      <c r="P658" s="310">
        <f t="shared" ca="1" si="308"/>
        <v>23</v>
      </c>
      <c r="Q658" s="304">
        <f t="shared" ca="1" si="309"/>
        <v>0</v>
      </c>
      <c r="R658" s="306">
        <f t="shared" ca="1" si="310"/>
        <v>0</v>
      </c>
      <c r="S658" s="307">
        <f t="shared" ca="1" si="311"/>
        <v>2.6792999999999987</v>
      </c>
      <c r="T658" s="304">
        <f t="shared" ca="1" si="291"/>
        <v>26.283932999999987</v>
      </c>
      <c r="U658" s="311">
        <f t="shared" ca="1" si="292"/>
        <v>0</v>
      </c>
      <c r="V658" s="306">
        <f t="shared" ca="1" si="293"/>
        <v>1.2262069791159842</v>
      </c>
      <c r="W658" s="304">
        <f t="shared" ca="1" si="294"/>
        <v>25.396406070310309</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0.31743679142837067</v>
      </c>
      <c r="AH658" s="304">
        <f t="shared" ca="1" si="318"/>
        <v>-9.4787312107899524</v>
      </c>
    </row>
    <row r="659" spans="1:34" x14ac:dyDescent="0.2">
      <c r="A659" s="347">
        <f t="shared" ca="1" si="296"/>
        <v>1E-4</v>
      </c>
      <c r="B659" s="304">
        <f t="shared" ca="1" si="297"/>
        <v>36.614100000000676</v>
      </c>
      <c r="D659" s="306">
        <f t="shared" ca="1" si="298"/>
        <v>-0.50317203469489369</v>
      </c>
      <c r="E659" s="307">
        <f t="shared" ca="1" si="299"/>
        <v>-0.34461795974092091</v>
      </c>
      <c r="F659" s="304">
        <f t="shared" ca="1" si="300"/>
        <v>0.60987181823313852</v>
      </c>
      <c r="G659" s="306">
        <f t="shared" ca="1" si="301"/>
        <v>5.3386234394386189</v>
      </c>
      <c r="H659" s="307">
        <f t="shared" ca="1" si="302"/>
        <v>-100.4280853282628</v>
      </c>
      <c r="I659" s="304">
        <f t="shared" ca="1" si="303"/>
        <v>100.56988228554788</v>
      </c>
      <c r="J659" s="306">
        <f t="shared" ca="1" si="304"/>
        <v>711.72888807733182</v>
      </c>
      <c r="K659" s="307">
        <f t="shared" ca="1" si="305"/>
        <v>-9.8580819668465445</v>
      </c>
      <c r="L659" s="304">
        <f t="shared" ca="1" si="290"/>
        <v>711.79715643142333</v>
      </c>
      <c r="M659" s="306">
        <f t="shared" ca="1" si="306"/>
        <v>-1.5176876448457208</v>
      </c>
      <c r="N659" s="304">
        <f t="shared" ca="1" si="307"/>
        <v>-86.957096668809612</v>
      </c>
      <c r="P659" s="310">
        <f t="shared" ca="1" si="308"/>
        <v>23</v>
      </c>
      <c r="Q659" s="304">
        <f t="shared" ca="1" si="309"/>
        <v>0</v>
      </c>
      <c r="R659" s="306">
        <f t="shared" ca="1" si="310"/>
        <v>0</v>
      </c>
      <c r="S659" s="307">
        <f t="shared" ca="1" si="311"/>
        <v>2.6792999999999987</v>
      </c>
      <c r="T659" s="304">
        <f t="shared" ca="1" si="291"/>
        <v>26.283932999999987</v>
      </c>
      <c r="U659" s="311">
        <f t="shared" ca="1" si="292"/>
        <v>0</v>
      </c>
      <c r="V659" s="306">
        <f t="shared" ca="1" si="293"/>
        <v>1.2262082105728818</v>
      </c>
      <c r="W659" s="304">
        <f t="shared" ca="1" si="294"/>
        <v>25.396447606853403</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0.31742155806315075</v>
      </c>
      <c r="AH659" s="304">
        <f t="shared" ca="1" si="318"/>
        <v>-9.4787467138096968</v>
      </c>
    </row>
    <row r="660" spans="1:34" x14ac:dyDescent="0.2">
      <c r="A660" s="347">
        <f t="shared" ca="1" si="296"/>
        <v>1E-4</v>
      </c>
      <c r="B660" s="304">
        <f t="shared" ca="1" si="297"/>
        <v>36.614200000000679</v>
      </c>
      <c r="D660" s="306">
        <f t="shared" ca="1" si="298"/>
        <v>-0.50316795641225975</v>
      </c>
      <c r="E660" s="307">
        <f t="shared" ca="1" si="299"/>
        <v>-0.34460221829549198</v>
      </c>
      <c r="F660" s="304">
        <f t="shared" ca="1" si="300"/>
        <v>0.60985955859875118</v>
      </c>
      <c r="G660" s="306">
        <f t="shared" ca="1" si="301"/>
        <v>5.3385731226429778</v>
      </c>
      <c r="H660" s="307">
        <f t="shared" ca="1" si="302"/>
        <v>-100.42811978848462</v>
      </c>
      <c r="I660" s="304">
        <f t="shared" ca="1" si="303"/>
        <v>100.56991402619384</v>
      </c>
      <c r="J660" s="306">
        <f t="shared" ca="1" si="304"/>
        <v>711.72888807733182</v>
      </c>
      <c r="K660" s="307">
        <f t="shared" ca="1" si="305"/>
        <v>-9.8681247771023823</v>
      </c>
      <c r="L660" s="304">
        <f t="shared" ca="1" si="290"/>
        <v>711.79729559082455</v>
      </c>
      <c r="M660" s="306">
        <f t="shared" ca="1" si="306"/>
        <v>-1.5176881626459946</v>
      </c>
      <c r="N660" s="304">
        <f t="shared" ca="1" si="307"/>
        <v>-86.957126336579933</v>
      </c>
      <c r="P660" s="310">
        <f t="shared" ca="1" si="308"/>
        <v>23</v>
      </c>
      <c r="Q660" s="304">
        <f t="shared" ca="1" si="309"/>
        <v>0</v>
      </c>
      <c r="R660" s="306">
        <f t="shared" ca="1" si="310"/>
        <v>0</v>
      </c>
      <c r="S660" s="307">
        <f t="shared" ca="1" si="311"/>
        <v>2.6792999999999987</v>
      </c>
      <c r="T660" s="304">
        <f t="shared" ca="1" si="291"/>
        <v>26.283932999999987</v>
      </c>
      <c r="U660" s="311">
        <f t="shared" ca="1" si="292"/>
        <v>0</v>
      </c>
      <c r="V660" s="306">
        <f t="shared" ca="1" si="293"/>
        <v>1.2262094420314389</v>
      </c>
      <c r="W660" s="304">
        <f t="shared" ca="1" si="294"/>
        <v>25.396489142698773</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0.31740632495299792</v>
      </c>
      <c r="AH660" s="304">
        <f t="shared" ca="1" si="318"/>
        <v>-9.4787622165690344</v>
      </c>
    </row>
    <row r="661" spans="1:34" x14ac:dyDescent="0.2">
      <c r="A661" s="347">
        <f t="shared" ca="1" si="296"/>
        <v>1E-4</v>
      </c>
      <c r="B661" s="304">
        <f t="shared" ca="1" si="297"/>
        <v>36.614300000000682</v>
      </c>
      <c r="D661" s="306">
        <f t="shared" ca="1" si="298"/>
        <v>-0.50316387814892094</v>
      </c>
      <c r="E661" s="307">
        <f t="shared" ca="1" si="299"/>
        <v>-0.34458647711441337</v>
      </c>
      <c r="F661" s="304">
        <f t="shared" ca="1" si="300"/>
        <v>0.60984729931679149</v>
      </c>
      <c r="G661" s="306">
        <f t="shared" ca="1" si="301"/>
        <v>5.3385228062551633</v>
      </c>
      <c r="H661" s="307">
        <f t="shared" ca="1" si="302"/>
        <v>-100.42815424713234</v>
      </c>
      <c r="I661" s="304">
        <f t="shared" ca="1" si="303"/>
        <v>100.56994576531655</v>
      </c>
      <c r="J661" s="306">
        <f t="shared" ca="1" si="304"/>
        <v>711.72888807733182</v>
      </c>
      <c r="K661" s="307">
        <f t="shared" ca="1" si="305"/>
        <v>-9.8781675908041624</v>
      </c>
      <c r="L661" s="304">
        <f t="shared" ca="1" si="290"/>
        <v>711.79743489194107</v>
      </c>
      <c r="M661" s="306">
        <f t="shared" ca="1" si="306"/>
        <v>-1.517688680441061</v>
      </c>
      <c r="N661" s="304">
        <f t="shared" ca="1" si="307"/>
        <v>-86.957156004051882</v>
      </c>
      <c r="P661" s="310">
        <f t="shared" ca="1" si="308"/>
        <v>23</v>
      </c>
      <c r="Q661" s="304">
        <f t="shared" ca="1" si="309"/>
        <v>0</v>
      </c>
      <c r="R661" s="306">
        <f t="shared" ca="1" si="310"/>
        <v>0</v>
      </c>
      <c r="S661" s="307">
        <f t="shared" ca="1" si="311"/>
        <v>2.6792999999999987</v>
      </c>
      <c r="T661" s="304">
        <f t="shared" ca="1" si="291"/>
        <v>26.283932999999987</v>
      </c>
      <c r="U661" s="311">
        <f t="shared" ca="1" si="292"/>
        <v>0</v>
      </c>
      <c r="V661" s="306">
        <f t="shared" ca="1" si="293"/>
        <v>1.2262106734916558</v>
      </c>
      <c r="W661" s="304">
        <f t="shared" ca="1" si="294"/>
        <v>25.396530677846449</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0.31739109209791927</v>
      </c>
      <c r="AH661" s="304">
        <f t="shared" ca="1" si="318"/>
        <v>-9.4787777190679599</v>
      </c>
    </row>
    <row r="662" spans="1:34" x14ac:dyDescent="0.2">
      <c r="A662" s="347">
        <f t="shared" ca="1" si="296"/>
        <v>1E-4</v>
      </c>
      <c r="B662" s="304">
        <f t="shared" ca="1" si="297"/>
        <v>36.614400000000686</v>
      </c>
      <c r="D662" s="306">
        <f t="shared" ca="1" si="298"/>
        <v>-0.50315979990488291</v>
      </c>
      <c r="E662" s="307">
        <f t="shared" ca="1" si="299"/>
        <v>-0.34457073619767442</v>
      </c>
      <c r="F662" s="304">
        <f t="shared" ca="1" si="300"/>
        <v>0.60983504038725844</v>
      </c>
      <c r="G662" s="306">
        <f t="shared" ca="1" si="301"/>
        <v>5.3384724902751728</v>
      </c>
      <c r="H662" s="307">
        <f t="shared" ca="1" si="302"/>
        <v>-100.42818870420597</v>
      </c>
      <c r="I662" s="304">
        <f t="shared" ca="1" si="303"/>
        <v>100.56997750291599</v>
      </c>
      <c r="J662" s="306">
        <f t="shared" ca="1" si="304"/>
        <v>711.72888807733182</v>
      </c>
      <c r="K662" s="307">
        <f t="shared" ca="1" si="305"/>
        <v>-9.8882104079517301</v>
      </c>
      <c r="L662" s="304">
        <f t="shared" ca="1" si="290"/>
        <v>711.79757433477323</v>
      </c>
      <c r="M662" s="306">
        <f t="shared" ca="1" si="306"/>
        <v>-1.5176891982309206</v>
      </c>
      <c r="N662" s="304">
        <f t="shared" ca="1" si="307"/>
        <v>-86.957185671225517</v>
      </c>
      <c r="P662" s="310">
        <f t="shared" ca="1" si="308"/>
        <v>23</v>
      </c>
      <c r="Q662" s="304">
        <f t="shared" ca="1" si="309"/>
        <v>0</v>
      </c>
      <c r="R662" s="306">
        <f t="shared" ca="1" si="310"/>
        <v>0</v>
      </c>
      <c r="S662" s="307">
        <f t="shared" ca="1" si="311"/>
        <v>2.6792999999999987</v>
      </c>
      <c r="T662" s="304">
        <f t="shared" ca="1" si="291"/>
        <v>26.283932999999987</v>
      </c>
      <c r="U662" s="311">
        <f t="shared" ca="1" si="292"/>
        <v>0</v>
      </c>
      <c r="V662" s="306">
        <f t="shared" ca="1" si="293"/>
        <v>1.2262119049535329</v>
      </c>
      <c r="W662" s="304">
        <f t="shared" ca="1" si="294"/>
        <v>25.396572212296444</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0.31737585949790414</v>
      </c>
      <c r="AH662" s="304">
        <f t="shared" ca="1" si="318"/>
        <v>-9.4787932213064838</v>
      </c>
    </row>
    <row r="663" spans="1:34" x14ac:dyDescent="0.2">
      <c r="A663" s="347">
        <f t="shared" ca="1" si="296"/>
        <v>1E-4</v>
      </c>
      <c r="B663" s="304">
        <f t="shared" ca="1" si="297"/>
        <v>36.614500000000689</v>
      </c>
      <c r="D663" s="306">
        <f t="shared" ca="1" si="298"/>
        <v>-0.50315572168014011</v>
      </c>
      <c r="E663" s="307">
        <f t="shared" ca="1" si="299"/>
        <v>-0.34455499554527336</v>
      </c>
      <c r="F663" s="304">
        <f t="shared" ca="1" si="300"/>
        <v>0.60982278181014682</v>
      </c>
      <c r="G663" s="306">
        <f t="shared" ca="1" si="301"/>
        <v>5.3384221747030045</v>
      </c>
      <c r="H663" s="307">
        <f t="shared" ca="1" si="302"/>
        <v>-100.42822315970552</v>
      </c>
      <c r="I663" s="304">
        <f t="shared" ca="1" si="303"/>
        <v>100.57000923899218</v>
      </c>
      <c r="J663" s="306">
        <f t="shared" ca="1" si="304"/>
        <v>711.72888807733182</v>
      </c>
      <c r="K663" s="307">
        <f t="shared" ca="1" si="305"/>
        <v>-9.8982532285449256</v>
      </c>
      <c r="L663" s="304">
        <f t="shared" ca="1" si="290"/>
        <v>711.79771391932093</v>
      </c>
      <c r="M663" s="306">
        <f t="shared" ca="1" si="306"/>
        <v>-1.5176897160155731</v>
      </c>
      <c r="N663" s="304">
        <f t="shared" ca="1" si="307"/>
        <v>-86.957215338100809</v>
      </c>
      <c r="P663" s="310">
        <f t="shared" ca="1" si="308"/>
        <v>23</v>
      </c>
      <c r="Q663" s="304">
        <f t="shared" ca="1" si="309"/>
        <v>0</v>
      </c>
      <c r="R663" s="306">
        <f t="shared" ca="1" si="310"/>
        <v>0</v>
      </c>
      <c r="S663" s="307">
        <f t="shared" ca="1" si="311"/>
        <v>2.6792999999999987</v>
      </c>
      <c r="T663" s="304">
        <f t="shared" ca="1" si="291"/>
        <v>26.283932999999987</v>
      </c>
      <c r="U663" s="311">
        <f t="shared" ca="1" si="292"/>
        <v>0</v>
      </c>
      <c r="V663" s="306">
        <f t="shared" ca="1" si="293"/>
        <v>1.2262131364170696</v>
      </c>
      <c r="W663" s="304">
        <f t="shared" ca="1" si="294"/>
        <v>25.39661374604874</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0.31736062715294899</v>
      </c>
      <c r="AH663" s="304">
        <f t="shared" ca="1" si="318"/>
        <v>-9.4788087232846099</v>
      </c>
    </row>
    <row r="664" spans="1:34" x14ac:dyDescent="0.2">
      <c r="A664" s="347">
        <f t="shared" ca="1" si="296"/>
        <v>1E-4</v>
      </c>
      <c r="B664" s="304">
        <f t="shared" ca="1" si="297"/>
        <v>36.614600000000692</v>
      </c>
      <c r="D664" s="306">
        <f t="shared" ca="1" si="298"/>
        <v>-0.5031516434746971</v>
      </c>
      <c r="E664" s="307">
        <f t="shared" ca="1" si="299"/>
        <v>-0.34453925515721373</v>
      </c>
      <c r="F664" s="304">
        <f t="shared" ca="1" si="300"/>
        <v>0.60981052358546284</v>
      </c>
      <c r="G664" s="306">
        <f t="shared" ca="1" si="301"/>
        <v>5.3383718595386567</v>
      </c>
      <c r="H664" s="307">
        <f t="shared" ca="1" si="302"/>
        <v>-100.42825761363105</v>
      </c>
      <c r="I664" s="304">
        <f t="shared" ca="1" si="303"/>
        <v>100.57004097354518</v>
      </c>
      <c r="J664" s="306">
        <f t="shared" ca="1" si="304"/>
        <v>711.72888807733182</v>
      </c>
      <c r="K664" s="307">
        <f t="shared" ca="1" si="305"/>
        <v>-9.9082960525835926</v>
      </c>
      <c r="L664" s="304">
        <f t="shared" ca="1" si="290"/>
        <v>711.79785364558438</v>
      </c>
      <c r="M664" s="306">
        <f t="shared" ca="1" si="306"/>
        <v>-1.5176902337950187</v>
      </c>
      <c r="N664" s="304">
        <f t="shared" ca="1" si="307"/>
        <v>-86.957245004677745</v>
      </c>
      <c r="P664" s="310">
        <f t="shared" ca="1" si="308"/>
        <v>23</v>
      </c>
      <c r="Q664" s="304">
        <f t="shared" ca="1" si="309"/>
        <v>0</v>
      </c>
      <c r="R664" s="306">
        <f t="shared" ca="1" si="310"/>
        <v>0</v>
      </c>
      <c r="S664" s="307">
        <f t="shared" ca="1" si="311"/>
        <v>2.6792999999999987</v>
      </c>
      <c r="T664" s="304">
        <f t="shared" ca="1" si="291"/>
        <v>26.283932999999987</v>
      </c>
      <c r="U664" s="311">
        <f t="shared" ca="1" si="292"/>
        <v>0</v>
      </c>
      <c r="V664" s="306">
        <f t="shared" ca="1" si="293"/>
        <v>1.2262143678822666</v>
      </c>
      <c r="W664" s="304">
        <f t="shared" ca="1" si="294"/>
        <v>25.396655279103378</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0.31734539506306092</v>
      </c>
      <c r="AH664" s="304">
        <f t="shared" ca="1" si="318"/>
        <v>-9.4788242250023327</v>
      </c>
    </row>
    <row r="665" spans="1:34" x14ac:dyDescent="0.2">
      <c r="A665" s="347">
        <f t="shared" ca="1" si="296"/>
        <v>1E-4</v>
      </c>
      <c r="B665" s="304">
        <f t="shared" ca="1" si="297"/>
        <v>36.614700000000695</v>
      </c>
      <c r="D665" s="306">
        <f t="shared" ca="1" si="298"/>
        <v>-0.50314756528855331</v>
      </c>
      <c r="E665" s="307">
        <f t="shared" ca="1" si="299"/>
        <v>-0.34452351503347778</v>
      </c>
      <c r="F665" s="304">
        <f t="shared" ca="1" si="300"/>
        <v>0.60979826571319629</v>
      </c>
      <c r="G665" s="306">
        <f t="shared" ca="1" si="301"/>
        <v>5.3383215447821275</v>
      </c>
      <c r="H665" s="307">
        <f t="shared" ca="1" si="302"/>
        <v>-100.42829206598255</v>
      </c>
      <c r="I665" s="304">
        <f t="shared" ca="1" si="303"/>
        <v>100.57007270657498</v>
      </c>
      <c r="J665" s="306">
        <f t="shared" ca="1" si="304"/>
        <v>711.72888807733182</v>
      </c>
      <c r="K665" s="307">
        <f t="shared" ca="1" si="305"/>
        <v>-9.9183388800675729</v>
      </c>
      <c r="L665" s="304">
        <f t="shared" ca="1" si="290"/>
        <v>711.79799351356348</v>
      </c>
      <c r="M665" s="306">
        <f t="shared" ca="1" si="306"/>
        <v>-1.5176907515692573</v>
      </c>
      <c r="N665" s="304">
        <f t="shared" ca="1" si="307"/>
        <v>-86.957274670956366</v>
      </c>
      <c r="P665" s="310">
        <f t="shared" ca="1" si="308"/>
        <v>23</v>
      </c>
      <c r="Q665" s="304">
        <f t="shared" ca="1" si="309"/>
        <v>0</v>
      </c>
      <c r="R665" s="306">
        <f t="shared" ca="1" si="310"/>
        <v>0</v>
      </c>
      <c r="S665" s="307">
        <f t="shared" ca="1" si="311"/>
        <v>2.6792999999999987</v>
      </c>
      <c r="T665" s="304">
        <f t="shared" ca="1" si="291"/>
        <v>26.283932999999987</v>
      </c>
      <c r="U665" s="311">
        <f t="shared" ca="1" si="292"/>
        <v>0</v>
      </c>
      <c r="V665" s="306">
        <f t="shared" ca="1" si="293"/>
        <v>1.2262155993491226</v>
      </c>
      <c r="W665" s="304">
        <f t="shared" ca="1" si="294"/>
        <v>25.396696811460334</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0.31733016322822039</v>
      </c>
      <c r="AH665" s="304">
        <f t="shared" ca="1" si="318"/>
        <v>-9.4788397264596682</v>
      </c>
    </row>
    <row r="666" spans="1:34" x14ac:dyDescent="0.2">
      <c r="A666" s="347">
        <f t="shared" ca="1" si="296"/>
        <v>1E-4</v>
      </c>
      <c r="B666" s="304">
        <f t="shared" ca="1" si="297"/>
        <v>36.614800000000699</v>
      </c>
      <c r="D666" s="306">
        <f t="shared" ca="1" si="298"/>
        <v>-0.50314348712170898</v>
      </c>
      <c r="E666" s="307">
        <f t="shared" ca="1" si="299"/>
        <v>-0.34450777517407793</v>
      </c>
      <c r="F666" s="304">
        <f t="shared" ca="1" si="300"/>
        <v>0.60978600819335493</v>
      </c>
      <c r="G666" s="306">
        <f t="shared" ca="1" si="301"/>
        <v>5.3382712304334152</v>
      </c>
      <c r="H666" s="307">
        <f t="shared" ca="1" si="302"/>
        <v>-100.42832651676007</v>
      </c>
      <c r="I666" s="304">
        <f t="shared" ca="1" si="303"/>
        <v>100.57010443808163</v>
      </c>
      <c r="J666" s="306">
        <f t="shared" ca="1" si="304"/>
        <v>711.72888807733182</v>
      </c>
      <c r="K666" s="307">
        <f t="shared" ca="1" si="305"/>
        <v>-9.9283817109967103</v>
      </c>
      <c r="L666" s="304">
        <f t="shared" ca="1" si="290"/>
        <v>711.79813352325846</v>
      </c>
      <c r="M666" s="306">
        <f t="shared" ca="1" si="306"/>
        <v>-1.5176912693382891</v>
      </c>
      <c r="N666" s="304">
        <f t="shared" ca="1" si="307"/>
        <v>-86.957304336936659</v>
      </c>
      <c r="P666" s="310">
        <f t="shared" ca="1" si="308"/>
        <v>23</v>
      </c>
      <c r="Q666" s="304">
        <f t="shared" ca="1" si="309"/>
        <v>0</v>
      </c>
      <c r="R666" s="306">
        <f t="shared" ca="1" si="310"/>
        <v>0</v>
      </c>
      <c r="S666" s="307">
        <f t="shared" ca="1" si="311"/>
        <v>2.6792999999999987</v>
      </c>
      <c r="T666" s="304">
        <f t="shared" ca="1" si="291"/>
        <v>26.283932999999987</v>
      </c>
      <c r="U666" s="311">
        <f t="shared" ca="1" si="292"/>
        <v>0</v>
      </c>
      <c r="V666" s="306">
        <f t="shared" ca="1" si="293"/>
        <v>1.2262168308176391</v>
      </c>
      <c r="W666" s="304">
        <f t="shared" ca="1" si="294"/>
        <v>25.396738343119647</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0.31731493164843982</v>
      </c>
      <c r="AH666" s="304">
        <f t="shared" ca="1" si="318"/>
        <v>-9.4788552276566076</v>
      </c>
    </row>
    <row r="667" spans="1:34" x14ac:dyDescent="0.2">
      <c r="A667" s="347">
        <f t="shared" ca="1" si="296"/>
        <v>1E-4</v>
      </c>
      <c r="B667" s="304">
        <f t="shared" ca="1" si="297"/>
        <v>36.614900000000702</v>
      </c>
      <c r="D667" s="306">
        <f t="shared" ca="1" si="298"/>
        <v>-0.50313940897416298</v>
      </c>
      <c r="E667" s="307">
        <f t="shared" ca="1" si="299"/>
        <v>-0.34449203557899999</v>
      </c>
      <c r="F667" s="304">
        <f t="shared" ca="1" si="300"/>
        <v>0.60977375102593012</v>
      </c>
      <c r="G667" s="306">
        <f t="shared" ca="1" si="301"/>
        <v>5.3382209164925181</v>
      </c>
      <c r="H667" s="307">
        <f t="shared" ca="1" si="302"/>
        <v>-100.42836096596362</v>
      </c>
      <c r="I667" s="304">
        <f t="shared" ca="1" si="303"/>
        <v>100.57013616806513</v>
      </c>
      <c r="J667" s="306">
        <f t="shared" ca="1" si="304"/>
        <v>711.72888807733182</v>
      </c>
      <c r="K667" s="307">
        <f t="shared" ca="1" si="305"/>
        <v>-9.9384245453708466</v>
      </c>
      <c r="L667" s="304">
        <f t="shared" ca="1" si="290"/>
        <v>711.79827367466919</v>
      </c>
      <c r="M667" s="306">
        <f t="shared" ca="1" si="306"/>
        <v>-1.5176917871021141</v>
      </c>
      <c r="N667" s="304">
        <f t="shared" ca="1" si="307"/>
        <v>-86.957334002618609</v>
      </c>
      <c r="P667" s="310">
        <f t="shared" ca="1" si="308"/>
        <v>23</v>
      </c>
      <c r="Q667" s="304">
        <f t="shared" ca="1" si="309"/>
        <v>0</v>
      </c>
      <c r="R667" s="306">
        <f t="shared" ca="1" si="310"/>
        <v>0</v>
      </c>
      <c r="S667" s="307">
        <f t="shared" ca="1" si="311"/>
        <v>2.6792999999999987</v>
      </c>
      <c r="T667" s="304">
        <f t="shared" ca="1" si="291"/>
        <v>26.283932999999987</v>
      </c>
      <c r="U667" s="311">
        <f t="shared" ca="1" si="292"/>
        <v>0</v>
      </c>
      <c r="V667" s="306">
        <f t="shared" ca="1" si="293"/>
        <v>1.2262180622878149</v>
      </c>
      <c r="W667" s="304">
        <f t="shared" ca="1" si="294"/>
        <v>25.396779874081304</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0.3172997003237068</v>
      </c>
      <c r="AH667" s="304">
        <f t="shared" ca="1" si="318"/>
        <v>-9.4788707285931615</v>
      </c>
    </row>
    <row r="668" spans="1:34" x14ac:dyDescent="0.2">
      <c r="A668" s="347">
        <f t="shared" ca="1" si="296"/>
        <v>1E-4</v>
      </c>
      <c r="B668" s="304">
        <f t="shared" ca="1" si="297"/>
        <v>36.615000000000705</v>
      </c>
      <c r="D668" s="306">
        <f t="shared" ca="1" si="298"/>
        <v>-0.50313533084591833</v>
      </c>
      <c r="E668" s="307">
        <f t="shared" ca="1" si="299"/>
        <v>-0.34447629624824749</v>
      </c>
      <c r="F668" s="304">
        <f t="shared" ca="1" si="300"/>
        <v>0.60976149421092674</v>
      </c>
      <c r="G668" s="306">
        <f t="shared" ca="1" si="301"/>
        <v>5.3381706029594334</v>
      </c>
      <c r="H668" s="307">
        <f t="shared" ca="1" si="302"/>
        <v>-100.42839541359325</v>
      </c>
      <c r="I668" s="304">
        <f t="shared" ca="1" si="303"/>
        <v>100.57016789652555</v>
      </c>
      <c r="J668" s="306">
        <f t="shared" ca="1" si="304"/>
        <v>711.72888807733182</v>
      </c>
      <c r="K668" s="307">
        <f t="shared" ca="1" si="305"/>
        <v>-9.9484673831898238</v>
      </c>
      <c r="L668" s="304">
        <f t="shared" ca="1" si="290"/>
        <v>711.79841396779568</v>
      </c>
      <c r="M668" s="306">
        <f t="shared" ca="1" si="306"/>
        <v>-1.5176923048607325</v>
      </c>
      <c r="N668" s="304">
        <f t="shared" ca="1" si="307"/>
        <v>-86.957363668002245</v>
      </c>
      <c r="P668" s="310">
        <f t="shared" ca="1" si="308"/>
        <v>23</v>
      </c>
      <c r="Q668" s="304">
        <f t="shared" ca="1" si="309"/>
        <v>0</v>
      </c>
      <c r="R668" s="306">
        <f t="shared" ca="1" si="310"/>
        <v>0</v>
      </c>
      <c r="S668" s="307">
        <f t="shared" ca="1" si="311"/>
        <v>2.6792999999999987</v>
      </c>
      <c r="T668" s="304">
        <f t="shared" ca="1" si="291"/>
        <v>26.283932999999987</v>
      </c>
      <c r="U668" s="311">
        <f t="shared" ca="1" si="292"/>
        <v>0</v>
      </c>
      <c r="V668" s="306">
        <f t="shared" ca="1" si="293"/>
        <v>1.2262192937596508</v>
      </c>
      <c r="W668" s="304">
        <f t="shared" ca="1" si="294"/>
        <v>25.396821404345335</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0.31728446925402132</v>
      </c>
      <c r="AH668" s="304">
        <f t="shared" ca="1" si="318"/>
        <v>-9.4788862292693299</v>
      </c>
    </row>
    <row r="669" spans="1:34" x14ac:dyDescent="0.2">
      <c r="A669" s="347">
        <f t="shared" ca="1" si="296"/>
        <v>1E-4</v>
      </c>
      <c r="B669" s="304">
        <f t="shared" ca="1" si="297"/>
        <v>36.615100000000709</v>
      </c>
      <c r="D669" s="306">
        <f t="shared" ca="1" si="298"/>
        <v>-0.5031312527369719</v>
      </c>
      <c r="E669" s="307">
        <f t="shared" ca="1" si="299"/>
        <v>-0.34446055718180979</v>
      </c>
      <c r="F669" s="304">
        <f t="shared" ca="1" si="300"/>
        <v>0.60974923774833656</v>
      </c>
      <c r="G669" s="306">
        <f t="shared" ca="1" si="301"/>
        <v>5.3381202898341593</v>
      </c>
      <c r="H669" s="307">
        <f t="shared" ca="1" si="302"/>
        <v>-100.42842985964897</v>
      </c>
      <c r="I669" s="304">
        <f t="shared" ca="1" si="303"/>
        <v>100.57019962346287</v>
      </c>
      <c r="J669" s="306">
        <f t="shared" ca="1" si="304"/>
        <v>711.72888807733182</v>
      </c>
      <c r="K669" s="307">
        <f t="shared" ca="1" si="305"/>
        <v>-9.9585102244534855</v>
      </c>
      <c r="L669" s="304">
        <f t="shared" ca="1" si="290"/>
        <v>711.79855440263839</v>
      </c>
      <c r="M669" s="306">
        <f t="shared" ca="1" si="306"/>
        <v>-1.5176928226141442</v>
      </c>
      <c r="N669" s="304">
        <f t="shared" ca="1" si="307"/>
        <v>-86.957393333087566</v>
      </c>
      <c r="P669" s="310">
        <f t="shared" ca="1" si="308"/>
        <v>23</v>
      </c>
      <c r="Q669" s="304">
        <f t="shared" ca="1" si="309"/>
        <v>0</v>
      </c>
      <c r="R669" s="306">
        <f t="shared" ca="1" si="310"/>
        <v>0</v>
      </c>
      <c r="S669" s="307">
        <f t="shared" ca="1" si="311"/>
        <v>2.6792999999999987</v>
      </c>
      <c r="T669" s="304">
        <f t="shared" ca="1" si="291"/>
        <v>26.283932999999987</v>
      </c>
      <c r="U669" s="311">
        <f t="shared" ca="1" si="292"/>
        <v>0</v>
      </c>
      <c r="V669" s="306">
        <f t="shared" ca="1" si="293"/>
        <v>1.2262205252331464</v>
      </c>
      <c r="W669" s="304">
        <f t="shared" ca="1" si="294"/>
        <v>25.396862933911741</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0.31726923843937271</v>
      </c>
      <c r="AH669" s="304">
        <f t="shared" ca="1" si="318"/>
        <v>-9.4789017296851217</v>
      </c>
    </row>
    <row r="670" spans="1:34" x14ac:dyDescent="0.2">
      <c r="A670" s="347">
        <f t="shared" ca="1" si="296"/>
        <v>1E-4</v>
      </c>
      <c r="B670" s="304">
        <f t="shared" ca="1" si="297"/>
        <v>36.615200000000712</v>
      </c>
      <c r="D670" s="306">
        <f t="shared" ca="1" si="298"/>
        <v>-0.50312717464732637</v>
      </c>
      <c r="E670" s="307">
        <f t="shared" ca="1" si="299"/>
        <v>-0.34444481837968333</v>
      </c>
      <c r="F670" s="304">
        <f t="shared" ca="1" si="300"/>
        <v>0.60973698163816037</v>
      </c>
      <c r="G670" s="306">
        <f t="shared" ca="1" si="301"/>
        <v>5.3380699771166942</v>
      </c>
      <c r="H670" s="307">
        <f t="shared" ca="1" si="302"/>
        <v>-100.42846430413081</v>
      </c>
      <c r="I670" s="304">
        <f t="shared" ca="1" si="303"/>
        <v>100.57023134887714</v>
      </c>
      <c r="J670" s="306">
        <f t="shared" ca="1" si="304"/>
        <v>711.72888807733182</v>
      </c>
      <c r="K670" s="307">
        <f t="shared" ca="1" si="305"/>
        <v>-9.9685530691616737</v>
      </c>
      <c r="L670" s="304">
        <f t="shared" ca="1" si="290"/>
        <v>711.79869497919697</v>
      </c>
      <c r="M670" s="306">
        <f t="shared" ca="1" si="306"/>
        <v>-1.5176933403623494</v>
      </c>
      <c r="N670" s="304">
        <f t="shared" ca="1" si="307"/>
        <v>-86.957422997874573</v>
      </c>
      <c r="P670" s="310">
        <f t="shared" ca="1" si="308"/>
        <v>23</v>
      </c>
      <c r="Q670" s="304">
        <f t="shared" ca="1" si="309"/>
        <v>0</v>
      </c>
      <c r="R670" s="306">
        <f t="shared" ca="1" si="310"/>
        <v>0</v>
      </c>
      <c r="S670" s="307">
        <f t="shared" ca="1" si="311"/>
        <v>2.6792999999999987</v>
      </c>
      <c r="T670" s="304">
        <f t="shared" ca="1" si="291"/>
        <v>26.283932999999987</v>
      </c>
      <c r="U670" s="311">
        <f t="shared" ca="1" si="292"/>
        <v>0</v>
      </c>
      <c r="V670" s="306">
        <f t="shared" ca="1" si="293"/>
        <v>1.2262217567083014</v>
      </c>
      <c r="W670" s="304">
        <f t="shared" ca="1" si="294"/>
        <v>25.396904462780522</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0.31725400787976454</v>
      </c>
      <c r="AH670" s="304">
        <f t="shared" ca="1" si="318"/>
        <v>-9.4789172298405386</v>
      </c>
    </row>
    <row r="671" spans="1:34" x14ac:dyDescent="0.2">
      <c r="A671" s="347">
        <f t="shared" ca="1" si="296"/>
        <v>1E-4</v>
      </c>
      <c r="B671" s="304">
        <f t="shared" ca="1" si="297"/>
        <v>36.615300000000715</v>
      </c>
      <c r="D671" s="306">
        <f t="shared" ca="1" si="298"/>
        <v>-0.50312309657698051</v>
      </c>
      <c r="E671" s="307">
        <f t="shared" ca="1" si="299"/>
        <v>-0.34442907984187343</v>
      </c>
      <c r="F671" s="304">
        <f t="shared" ca="1" si="300"/>
        <v>0.60972472588040028</v>
      </c>
      <c r="G671" s="306">
        <f t="shared" ca="1" si="301"/>
        <v>5.3380196648070362</v>
      </c>
      <c r="H671" s="307">
        <f t="shared" ca="1" si="302"/>
        <v>-100.4284987470388</v>
      </c>
      <c r="I671" s="304">
        <f t="shared" ca="1" si="303"/>
        <v>100.57026307276838</v>
      </c>
      <c r="J671" s="306">
        <f t="shared" ca="1" si="304"/>
        <v>711.72888807733182</v>
      </c>
      <c r="K671" s="307">
        <f t="shared" ca="1" si="305"/>
        <v>-9.978595917314232</v>
      </c>
      <c r="L671" s="304">
        <f t="shared" ca="1" si="290"/>
        <v>711.79883569747165</v>
      </c>
      <c r="M671" s="306">
        <f t="shared" ca="1" si="306"/>
        <v>-1.5176938581053481</v>
      </c>
      <c r="N671" s="304">
        <f t="shared" ca="1" si="307"/>
        <v>-86.957452662363266</v>
      </c>
      <c r="P671" s="310">
        <f t="shared" ca="1" si="308"/>
        <v>23</v>
      </c>
      <c r="Q671" s="304">
        <f t="shared" ca="1" si="309"/>
        <v>0</v>
      </c>
      <c r="R671" s="306">
        <f t="shared" ca="1" si="310"/>
        <v>0</v>
      </c>
      <c r="S671" s="307">
        <f t="shared" ca="1" si="311"/>
        <v>2.6792999999999987</v>
      </c>
      <c r="T671" s="304">
        <f t="shared" ca="1" si="291"/>
        <v>26.283932999999987</v>
      </c>
      <c r="U671" s="311">
        <f t="shared" ca="1" si="292"/>
        <v>0</v>
      </c>
      <c r="V671" s="306">
        <f t="shared" ca="1" si="293"/>
        <v>1.2262229881851163</v>
      </c>
      <c r="W671" s="304">
        <f t="shared" ca="1" si="294"/>
        <v>25.396945990951703</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0.31723877757519681</v>
      </c>
      <c r="AH671" s="304">
        <f t="shared" ca="1" si="318"/>
        <v>-9.478932729735579</v>
      </c>
    </row>
    <row r="672" spans="1:34" x14ac:dyDescent="0.2">
      <c r="A672" s="347">
        <f t="shared" ca="1" si="296"/>
        <v>1E-4</v>
      </c>
      <c r="B672" s="304">
        <f t="shared" ca="1" si="297"/>
        <v>36.615400000000719</v>
      </c>
      <c r="D672" s="306">
        <f t="shared" ca="1" si="298"/>
        <v>-0.50311901852593499</v>
      </c>
      <c r="E672" s="307">
        <f t="shared" ca="1" si="299"/>
        <v>-0.34441334156836767</v>
      </c>
      <c r="F672" s="304">
        <f t="shared" ca="1" si="300"/>
        <v>0.60971247047505039</v>
      </c>
      <c r="G672" s="306">
        <f t="shared" ca="1" si="301"/>
        <v>5.3379693529051835</v>
      </c>
      <c r="H672" s="307">
        <f t="shared" ca="1" si="302"/>
        <v>-100.42853318837295</v>
      </c>
      <c r="I672" s="304">
        <f t="shared" ca="1" si="303"/>
        <v>100.57029479513662</v>
      </c>
      <c r="J672" s="306">
        <f t="shared" ca="1" si="304"/>
        <v>711.72888807733182</v>
      </c>
      <c r="K672" s="307">
        <f t="shared" ca="1" si="305"/>
        <v>-9.9886387689110023</v>
      </c>
      <c r="L672" s="304">
        <f t="shared" ca="1" si="290"/>
        <v>711.79897655746242</v>
      </c>
      <c r="M672" s="306">
        <f t="shared" ca="1" si="306"/>
        <v>-1.5176943758431405</v>
      </c>
      <c r="N672" s="304">
        <f t="shared" ca="1" si="307"/>
        <v>-86.957482326553674</v>
      </c>
      <c r="P672" s="310">
        <f t="shared" ca="1" si="308"/>
        <v>23</v>
      </c>
      <c r="Q672" s="304">
        <f t="shared" ca="1" si="309"/>
        <v>0</v>
      </c>
      <c r="R672" s="306">
        <f t="shared" ca="1" si="310"/>
        <v>0</v>
      </c>
      <c r="S672" s="307">
        <f t="shared" ca="1" si="311"/>
        <v>2.6792999999999987</v>
      </c>
      <c r="T672" s="304">
        <f t="shared" ca="1" si="291"/>
        <v>26.283932999999987</v>
      </c>
      <c r="U672" s="311">
        <f t="shared" ca="1" si="292"/>
        <v>0</v>
      </c>
      <c r="V672" s="306">
        <f t="shared" ca="1" si="293"/>
        <v>1.2262242196635915</v>
      </c>
      <c r="W672" s="304">
        <f t="shared" ca="1" si="294"/>
        <v>25.396987518425306</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0.31722354752565884</v>
      </c>
      <c r="AH672" s="304">
        <f t="shared" ca="1" si="318"/>
        <v>-9.4789482293702516</v>
      </c>
    </row>
    <row r="673" spans="1:34" x14ac:dyDescent="0.2">
      <c r="A673" s="347">
        <f t="shared" ca="1" si="296"/>
        <v>1E-4</v>
      </c>
      <c r="B673" s="304">
        <f t="shared" ca="1" si="297"/>
        <v>36.615500000000722</v>
      </c>
      <c r="D673" s="306">
        <f t="shared" ca="1" si="298"/>
        <v>-0.50311494049418937</v>
      </c>
      <c r="E673" s="307">
        <f t="shared" ca="1" si="299"/>
        <v>-0.34439760355915716</v>
      </c>
      <c r="F673" s="304">
        <f t="shared" ca="1" si="300"/>
        <v>0.60970021542210573</v>
      </c>
      <c r="G673" s="306">
        <f t="shared" ca="1" si="301"/>
        <v>5.3379190414111344</v>
      </c>
      <c r="H673" s="307">
        <f t="shared" ca="1" si="302"/>
        <v>-100.42856762813331</v>
      </c>
      <c r="I673" s="304">
        <f t="shared" ca="1" si="303"/>
        <v>100.57032651598186</v>
      </c>
      <c r="J673" s="306">
        <f t="shared" ca="1" si="304"/>
        <v>711.72888807733182</v>
      </c>
      <c r="K673" s="307">
        <f t="shared" ca="1" si="305"/>
        <v>-9.9986816239518284</v>
      </c>
      <c r="L673" s="304">
        <f t="shared" ca="1" si="290"/>
        <v>711.79911755916942</v>
      </c>
      <c r="M673" s="306">
        <f t="shared" ca="1" si="306"/>
        <v>-1.5176948935757262</v>
      </c>
      <c r="N673" s="304">
        <f t="shared" ca="1" si="307"/>
        <v>-86.957511990445752</v>
      </c>
      <c r="P673" s="310">
        <f t="shared" ca="1" si="308"/>
        <v>23</v>
      </c>
      <c r="Q673" s="304">
        <f t="shared" ca="1" si="309"/>
        <v>0</v>
      </c>
      <c r="R673" s="306">
        <f t="shared" ca="1" si="310"/>
        <v>0</v>
      </c>
      <c r="S673" s="307">
        <f t="shared" ca="1" si="311"/>
        <v>2.6792999999999987</v>
      </c>
      <c r="T673" s="304">
        <f t="shared" ca="1" si="291"/>
        <v>26.283932999999987</v>
      </c>
      <c r="U673" s="311">
        <f t="shared" ca="1" si="292"/>
        <v>0</v>
      </c>
      <c r="V673" s="306">
        <f t="shared" ca="1" si="293"/>
        <v>1.2262254511437256</v>
      </c>
      <c r="W673" s="304">
        <f t="shared" ca="1" si="294"/>
        <v>25.397029045201283</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0.31720831773114</v>
      </c>
      <c r="AH673" s="304">
        <f t="shared" ca="1" si="318"/>
        <v>-9.4789637287445672</v>
      </c>
    </row>
    <row r="674" spans="1:34" x14ac:dyDescent="0.2">
      <c r="A674" s="347">
        <f t="shared" ca="1" si="296"/>
        <v>1E-4</v>
      </c>
      <c r="B674" s="304">
        <f t="shared" ca="1" si="297"/>
        <v>36.615600000000725</v>
      </c>
      <c r="D674" s="306">
        <f t="shared" ca="1" si="298"/>
        <v>-0.50311086248174719</v>
      </c>
      <c r="E674" s="307">
        <f t="shared" ca="1" si="299"/>
        <v>-0.34438186581426145</v>
      </c>
      <c r="F674" s="304">
        <f t="shared" ca="1" si="300"/>
        <v>0.60968796072158049</v>
      </c>
      <c r="G674" s="306">
        <f t="shared" ca="1" si="301"/>
        <v>5.3378687303248862</v>
      </c>
      <c r="H674" s="307">
        <f t="shared" ca="1" si="302"/>
        <v>-100.42860206631988</v>
      </c>
      <c r="I674" s="304">
        <f t="shared" ca="1" si="303"/>
        <v>100.57035823530416</v>
      </c>
      <c r="J674" s="306">
        <f t="shared" ca="1" si="304"/>
        <v>711.72888807733182</v>
      </c>
      <c r="K674" s="307">
        <f t="shared" ca="1" si="305"/>
        <v>-10.00872448243655</v>
      </c>
      <c r="L674" s="304">
        <f t="shared" ca="1" si="290"/>
        <v>711.79925870259262</v>
      </c>
      <c r="M674" s="306">
        <f t="shared" ca="1" si="306"/>
        <v>-1.5176954113031058</v>
      </c>
      <c r="N674" s="304">
        <f t="shared" ca="1" si="307"/>
        <v>-86.957541654039545</v>
      </c>
      <c r="P674" s="310">
        <f t="shared" ca="1" si="308"/>
        <v>23</v>
      </c>
      <c r="Q674" s="304">
        <f t="shared" ca="1" si="309"/>
        <v>0</v>
      </c>
      <c r="R674" s="306">
        <f t="shared" ca="1" si="310"/>
        <v>0</v>
      </c>
      <c r="S674" s="307">
        <f t="shared" ca="1" si="311"/>
        <v>2.6792999999999987</v>
      </c>
      <c r="T674" s="304">
        <f t="shared" ca="1" si="291"/>
        <v>26.283932999999987</v>
      </c>
      <c r="U674" s="311">
        <f t="shared" ca="1" si="292"/>
        <v>0</v>
      </c>
      <c r="V674" s="306">
        <f t="shared" ca="1" si="293"/>
        <v>1.2262266826255197</v>
      </c>
      <c r="W674" s="304">
        <f t="shared" ca="1" si="294"/>
        <v>25.397070571279706</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0.31719308819166159</v>
      </c>
      <c r="AH674" s="304">
        <f t="shared" ca="1" si="318"/>
        <v>-9.4789792278585061</v>
      </c>
    </row>
    <row r="675" spans="1:34" x14ac:dyDescent="0.2">
      <c r="A675" s="347">
        <f t="shared" ca="1" si="296"/>
        <v>1E-4</v>
      </c>
      <c r="B675" s="304">
        <f t="shared" ca="1" si="297"/>
        <v>36.615700000000729</v>
      </c>
      <c r="D675" s="306">
        <f t="shared" ca="1" si="298"/>
        <v>-0.50310678448860424</v>
      </c>
      <c r="E675" s="307">
        <f t="shared" ca="1" si="299"/>
        <v>-0.34436612833365388</v>
      </c>
      <c r="F675" s="304">
        <f t="shared" ca="1" si="300"/>
        <v>0.6096757063734568</v>
      </c>
      <c r="G675" s="306">
        <f t="shared" ca="1" si="301"/>
        <v>5.3378184196464371</v>
      </c>
      <c r="H675" s="307">
        <f t="shared" ca="1" si="302"/>
        <v>-100.42863650293272</v>
      </c>
      <c r="I675" s="304">
        <f t="shared" ca="1" si="303"/>
        <v>100.57038995310353</v>
      </c>
      <c r="J675" s="306">
        <f t="shared" ca="1" si="304"/>
        <v>711.72888807733182</v>
      </c>
      <c r="K675" s="307">
        <f t="shared" ca="1" si="305"/>
        <v>-10.018767344365013</v>
      </c>
      <c r="L675" s="304">
        <f t="shared" ca="1" si="290"/>
        <v>711.79939998773227</v>
      </c>
      <c r="M675" s="306">
        <f t="shared" ca="1" si="306"/>
        <v>-1.5176959290252789</v>
      </c>
      <c r="N675" s="304">
        <f t="shared" ca="1" si="307"/>
        <v>-86.957571317335024</v>
      </c>
      <c r="P675" s="310">
        <f t="shared" ca="1" si="308"/>
        <v>23</v>
      </c>
      <c r="Q675" s="304">
        <f t="shared" ca="1" si="309"/>
        <v>0</v>
      </c>
      <c r="R675" s="306">
        <f t="shared" ca="1" si="310"/>
        <v>0</v>
      </c>
      <c r="S675" s="307">
        <f t="shared" ca="1" si="311"/>
        <v>2.6792999999999987</v>
      </c>
      <c r="T675" s="304">
        <f t="shared" ca="1" si="291"/>
        <v>26.283932999999987</v>
      </c>
      <c r="U675" s="311">
        <f t="shared" ca="1" si="292"/>
        <v>0</v>
      </c>
      <c r="V675" s="306">
        <f t="shared" ca="1" si="293"/>
        <v>1.2262279141089738</v>
      </c>
      <c r="W675" s="304">
        <f t="shared" ca="1" si="294"/>
        <v>25.397112096660564</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0.31717785890719696</v>
      </c>
      <c r="AH675" s="304">
        <f t="shared" ca="1" si="318"/>
        <v>-9.4789947267120951</v>
      </c>
    </row>
    <row r="676" spans="1:34" x14ac:dyDescent="0.2">
      <c r="A676" s="347">
        <f t="shared" ca="1" si="296"/>
        <v>1E-4</v>
      </c>
      <c r="B676" s="304">
        <f t="shared" ca="1" si="297"/>
        <v>36.615800000000732</v>
      </c>
      <c r="D676" s="306">
        <f t="shared" ca="1" si="298"/>
        <v>-0.50310270651476552</v>
      </c>
      <c r="E676" s="307">
        <f t="shared" ca="1" si="299"/>
        <v>-0.34435039111733445</v>
      </c>
      <c r="F676" s="304">
        <f t="shared" ca="1" si="300"/>
        <v>0.60966345237773889</v>
      </c>
      <c r="G676" s="306">
        <f t="shared" ca="1" si="301"/>
        <v>5.3377681093757854</v>
      </c>
      <c r="H676" s="307">
        <f t="shared" ca="1" si="302"/>
        <v>-100.42867093797183</v>
      </c>
      <c r="I676" s="304">
        <f t="shared" ca="1" si="303"/>
        <v>100.57042166938</v>
      </c>
      <c r="J676" s="306">
        <f t="shared" ca="1" si="304"/>
        <v>711.72888807733182</v>
      </c>
      <c r="K676" s="307">
        <f t="shared" ca="1" si="305"/>
        <v>-10.028810209737058</v>
      </c>
      <c r="L676" s="304">
        <f t="shared" ca="1" si="290"/>
        <v>711.79954141458825</v>
      </c>
      <c r="M676" s="306">
        <f t="shared" ca="1" si="306"/>
        <v>-1.517696446742246</v>
      </c>
      <c r="N676" s="304">
        <f t="shared" ca="1" si="307"/>
        <v>-86.957600980332217</v>
      </c>
      <c r="P676" s="310">
        <f t="shared" ca="1" si="308"/>
        <v>23</v>
      </c>
      <c r="Q676" s="304">
        <f t="shared" ca="1" si="309"/>
        <v>0</v>
      </c>
      <c r="R676" s="306">
        <f t="shared" ca="1" si="310"/>
        <v>0</v>
      </c>
      <c r="S676" s="307">
        <f t="shared" ca="1" si="311"/>
        <v>2.6792999999999987</v>
      </c>
      <c r="T676" s="304">
        <f t="shared" ca="1" si="291"/>
        <v>26.283932999999987</v>
      </c>
      <c r="U676" s="311">
        <f t="shared" ca="1" si="292"/>
        <v>0</v>
      </c>
      <c r="V676" s="306">
        <f t="shared" ca="1" si="293"/>
        <v>1.2262291455940868</v>
      </c>
      <c r="W676" s="304">
        <f t="shared" ca="1" si="294"/>
        <v>25.397153621343843</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0.31716262987774968</v>
      </c>
      <c r="AH676" s="304">
        <f t="shared" ca="1" si="318"/>
        <v>-9.4790102253053323</v>
      </c>
    </row>
    <row r="677" spans="1:34" x14ac:dyDescent="0.2">
      <c r="A677" s="347">
        <f t="shared" ca="1" si="296"/>
        <v>1E-4</v>
      </c>
      <c r="B677" s="304">
        <f t="shared" ca="1" si="297"/>
        <v>36.615900000000735</v>
      </c>
      <c r="D677" s="306">
        <f t="shared" ca="1" si="298"/>
        <v>-0.5030986285602268</v>
      </c>
      <c r="E677" s="307">
        <f t="shared" ca="1" si="299"/>
        <v>-0.34433465416531206</v>
      </c>
      <c r="F677" s="304">
        <f t="shared" ca="1" si="300"/>
        <v>0.60965119873442886</v>
      </c>
      <c r="G677" s="306">
        <f t="shared" ca="1" si="301"/>
        <v>5.3377177995129292</v>
      </c>
      <c r="H677" s="307">
        <f t="shared" ca="1" si="302"/>
        <v>-100.42870537143725</v>
      </c>
      <c r="I677" s="304">
        <f t="shared" ca="1" si="303"/>
        <v>100.57045338413357</v>
      </c>
      <c r="J677" s="306">
        <f t="shared" ca="1" si="304"/>
        <v>711.72888807733182</v>
      </c>
      <c r="K677" s="307">
        <f t="shared" ca="1" si="305"/>
        <v>-10.038853078552528</v>
      </c>
      <c r="L677" s="304">
        <f t="shared" ca="1" si="290"/>
        <v>711.79968298316055</v>
      </c>
      <c r="M677" s="306">
        <f t="shared" ca="1" si="306"/>
        <v>-1.517696964454007</v>
      </c>
      <c r="N677" s="304">
        <f t="shared" ca="1" si="307"/>
        <v>-86.957630643031123</v>
      </c>
      <c r="P677" s="310">
        <f t="shared" ca="1" si="308"/>
        <v>23</v>
      </c>
      <c r="Q677" s="304">
        <f t="shared" ca="1" si="309"/>
        <v>0</v>
      </c>
      <c r="R677" s="306">
        <f t="shared" ca="1" si="310"/>
        <v>0</v>
      </c>
      <c r="S677" s="307">
        <f t="shared" ca="1" si="311"/>
        <v>2.6792999999999987</v>
      </c>
      <c r="T677" s="304">
        <f t="shared" ca="1" si="291"/>
        <v>26.283932999999987</v>
      </c>
      <c r="U677" s="311">
        <f t="shared" ca="1" si="292"/>
        <v>0</v>
      </c>
      <c r="V677" s="306">
        <f t="shared" ca="1" si="293"/>
        <v>1.22623037708086</v>
      </c>
      <c r="W677" s="304">
        <f t="shared" ca="1" si="294"/>
        <v>25.39719514532959</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0.31714740110332151</v>
      </c>
      <c r="AH677" s="304">
        <f t="shared" ca="1" si="318"/>
        <v>-9.4790257236382107</v>
      </c>
    </row>
    <row r="678" spans="1:34" x14ac:dyDescent="0.2">
      <c r="A678" s="347">
        <f t="shared" ca="1" si="296"/>
        <v>1E-4</v>
      </c>
      <c r="B678" s="304">
        <f t="shared" ca="1" si="297"/>
        <v>36.616000000000739</v>
      </c>
      <c r="D678" s="306">
        <f t="shared" ca="1" si="298"/>
        <v>-0.50309455062498964</v>
      </c>
      <c r="E678" s="307">
        <f t="shared" ca="1" si="299"/>
        <v>-0.34431891747757071</v>
      </c>
      <c r="F678" s="304">
        <f t="shared" ca="1" si="300"/>
        <v>0.60963894544351938</v>
      </c>
      <c r="G678" s="306">
        <f t="shared" ca="1" si="301"/>
        <v>5.3376674900578669</v>
      </c>
      <c r="H678" s="307">
        <f t="shared" ca="1" si="302"/>
        <v>-100.42873980332899</v>
      </c>
      <c r="I678" s="304">
        <f t="shared" ca="1" si="303"/>
        <v>100.57048509736431</v>
      </c>
      <c r="J678" s="306">
        <f t="shared" ca="1" si="304"/>
        <v>711.72888807733182</v>
      </c>
      <c r="K678" s="307">
        <f t="shared" ca="1" si="305"/>
        <v>-10.048895950811266</v>
      </c>
      <c r="L678" s="304">
        <f t="shared" ca="1" si="290"/>
        <v>711.79982469344941</v>
      </c>
      <c r="M678" s="306">
        <f t="shared" ca="1" si="306"/>
        <v>-1.5176974821605618</v>
      </c>
      <c r="N678" s="304">
        <f t="shared" ca="1" si="307"/>
        <v>-86.957660305431745</v>
      </c>
      <c r="P678" s="310">
        <f t="shared" ca="1" si="308"/>
        <v>23</v>
      </c>
      <c r="Q678" s="304">
        <f t="shared" ca="1" si="309"/>
        <v>0</v>
      </c>
      <c r="R678" s="306">
        <f t="shared" ca="1" si="310"/>
        <v>0</v>
      </c>
      <c r="S678" s="307">
        <f t="shared" ca="1" si="311"/>
        <v>2.6792999999999987</v>
      </c>
      <c r="T678" s="304">
        <f t="shared" ca="1" si="291"/>
        <v>26.283932999999987</v>
      </c>
      <c r="U678" s="311">
        <f t="shared" ca="1" si="292"/>
        <v>0</v>
      </c>
      <c r="V678" s="306">
        <f t="shared" ca="1" si="293"/>
        <v>1.2262316085692926</v>
      </c>
      <c r="W678" s="304">
        <f t="shared" ca="1" si="294"/>
        <v>25.397236668617797</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0.31713217258390003</v>
      </c>
      <c r="AH678" s="304">
        <f t="shared" ca="1" si="318"/>
        <v>-9.4790412217107463</v>
      </c>
    </row>
    <row r="679" spans="1:34" x14ac:dyDescent="0.2">
      <c r="A679" s="347">
        <f t="shared" ca="1" si="296"/>
        <v>1E-4</v>
      </c>
      <c r="B679" s="304">
        <f t="shared" ca="1" si="297"/>
        <v>36.616100000000742</v>
      </c>
      <c r="D679" s="306">
        <f t="shared" ca="1" si="298"/>
        <v>-0.50309047270905694</v>
      </c>
      <c r="E679" s="307">
        <f t="shared" ca="1" si="299"/>
        <v>-0.3443031810541104</v>
      </c>
      <c r="F679" s="304">
        <f t="shared" ca="1" si="300"/>
        <v>0.60962669250501322</v>
      </c>
      <c r="G679" s="306">
        <f t="shared" ca="1" si="301"/>
        <v>5.3376171810105957</v>
      </c>
      <c r="H679" s="307">
        <f t="shared" ca="1" si="302"/>
        <v>-100.4287742336471</v>
      </c>
      <c r="I679" s="304">
        <f t="shared" ca="1" si="303"/>
        <v>100.57051680907223</v>
      </c>
      <c r="J679" s="306">
        <f t="shared" ca="1" si="304"/>
        <v>711.72888807733182</v>
      </c>
      <c r="K679" s="307">
        <f t="shared" ca="1" si="305"/>
        <v>-10.058938826513115</v>
      </c>
      <c r="L679" s="304">
        <f t="shared" ca="1" si="290"/>
        <v>711.79996654545494</v>
      </c>
      <c r="M679" s="306">
        <f t="shared" ca="1" si="306"/>
        <v>-1.5176979998619107</v>
      </c>
      <c r="N679" s="304">
        <f t="shared" ca="1" si="307"/>
        <v>-86.95768996753408</v>
      </c>
      <c r="P679" s="310">
        <f t="shared" ca="1" si="308"/>
        <v>23</v>
      </c>
      <c r="Q679" s="304">
        <f t="shared" ca="1" si="309"/>
        <v>0</v>
      </c>
      <c r="R679" s="306">
        <f t="shared" ca="1" si="310"/>
        <v>0</v>
      </c>
      <c r="S679" s="307">
        <f t="shared" ca="1" si="311"/>
        <v>2.6792999999999987</v>
      </c>
      <c r="T679" s="304">
        <f t="shared" ca="1" si="291"/>
        <v>26.283932999999987</v>
      </c>
      <c r="U679" s="311">
        <f t="shared" ca="1" si="292"/>
        <v>0</v>
      </c>
      <c r="V679" s="306">
        <f t="shared" ca="1" si="293"/>
        <v>1.2262328400593852</v>
      </c>
      <c r="W679" s="304">
        <f t="shared" ca="1" si="294"/>
        <v>25.397278191208482</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0.317116944319487</v>
      </c>
      <c r="AH679" s="304">
        <f t="shared" ca="1" si="318"/>
        <v>-9.4790567195229389</v>
      </c>
    </row>
    <row r="680" spans="1:34" x14ac:dyDescent="0.2">
      <c r="A680" s="347">
        <f t="shared" ca="1" si="296"/>
        <v>1E-4</v>
      </c>
      <c r="B680" s="304">
        <f t="shared" ca="1" si="297"/>
        <v>36.616200000000745</v>
      </c>
      <c r="D680" s="306">
        <f t="shared" ca="1" si="298"/>
        <v>-0.50308639481242523</v>
      </c>
      <c r="E680" s="307">
        <f t="shared" ca="1" si="299"/>
        <v>-0.34428744489492402</v>
      </c>
      <c r="F680" s="304">
        <f t="shared" ca="1" si="300"/>
        <v>0.60961443991890374</v>
      </c>
      <c r="G680" s="306">
        <f t="shared" ca="1" si="301"/>
        <v>5.3375668723711147</v>
      </c>
      <c r="H680" s="307">
        <f t="shared" ca="1" si="302"/>
        <v>-100.42880866239159</v>
      </c>
      <c r="I680" s="304">
        <f t="shared" ca="1" si="303"/>
        <v>100.57054851925734</v>
      </c>
      <c r="J680" s="306">
        <f t="shared" ca="1" si="304"/>
        <v>711.72888807733182</v>
      </c>
      <c r="K680" s="307">
        <f t="shared" ca="1" si="305"/>
        <v>-10.068981705657917</v>
      </c>
      <c r="L680" s="304">
        <f t="shared" ca="1" si="290"/>
        <v>711.8001085391769</v>
      </c>
      <c r="M680" s="306">
        <f t="shared" ca="1" si="306"/>
        <v>-1.5176985175580535</v>
      </c>
      <c r="N680" s="304">
        <f t="shared" ca="1" si="307"/>
        <v>-86.957719629338129</v>
      </c>
      <c r="P680" s="310">
        <f t="shared" ca="1" si="308"/>
        <v>23</v>
      </c>
      <c r="Q680" s="304">
        <f t="shared" ca="1" si="309"/>
        <v>0</v>
      </c>
      <c r="R680" s="306">
        <f t="shared" ca="1" si="310"/>
        <v>0</v>
      </c>
      <c r="S680" s="307">
        <f t="shared" ca="1" si="311"/>
        <v>2.6792999999999987</v>
      </c>
      <c r="T680" s="304">
        <f t="shared" ca="1" si="291"/>
        <v>26.283932999999987</v>
      </c>
      <c r="U680" s="311">
        <f t="shared" ca="1" si="292"/>
        <v>0</v>
      </c>
      <c r="V680" s="306">
        <f t="shared" ca="1" si="293"/>
        <v>1.2262340715511368</v>
      </c>
      <c r="W680" s="304">
        <f t="shared" ca="1" si="294"/>
        <v>25.397319713101634</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0.31710171631007356</v>
      </c>
      <c r="AH680" s="304">
        <f t="shared" ca="1" si="318"/>
        <v>-9.4790722170747941</v>
      </c>
    </row>
    <row r="681" spans="1:34" x14ac:dyDescent="0.2">
      <c r="A681" s="347">
        <f t="shared" ca="1" si="296"/>
        <v>1E-4</v>
      </c>
      <c r="B681" s="304">
        <f t="shared" ca="1" si="297"/>
        <v>36.616300000000749</v>
      </c>
      <c r="D681" s="306">
        <f t="shared" ca="1" si="298"/>
        <v>-0.50308231693509708</v>
      </c>
      <c r="E681" s="307">
        <f t="shared" ca="1" si="299"/>
        <v>-0.34427170900001691</v>
      </c>
      <c r="F681" s="304">
        <f t="shared" ca="1" si="300"/>
        <v>0.60960218768519669</v>
      </c>
      <c r="G681" s="306">
        <f t="shared" ca="1" si="301"/>
        <v>5.3375165641394213</v>
      </c>
      <c r="H681" s="307">
        <f t="shared" ca="1" si="302"/>
        <v>-100.42884308956249</v>
      </c>
      <c r="I681" s="304">
        <f t="shared" ca="1" si="303"/>
        <v>100.57058022791968</v>
      </c>
      <c r="J681" s="306">
        <f t="shared" ca="1" si="304"/>
        <v>711.72888807733182</v>
      </c>
      <c r="K681" s="307">
        <f t="shared" ca="1" si="305"/>
        <v>-10.079024588245515</v>
      </c>
      <c r="L681" s="304">
        <f t="shared" ca="1" si="290"/>
        <v>711.80025067461554</v>
      </c>
      <c r="M681" s="306">
        <f t="shared" ca="1" si="306"/>
        <v>-1.5176990352489905</v>
      </c>
      <c r="N681" s="304">
        <f t="shared" ca="1" si="307"/>
        <v>-86.957749290843921</v>
      </c>
      <c r="P681" s="310">
        <f t="shared" ca="1" si="308"/>
        <v>23</v>
      </c>
      <c r="Q681" s="304">
        <f t="shared" ca="1" si="309"/>
        <v>0</v>
      </c>
      <c r="R681" s="306">
        <f t="shared" ca="1" si="310"/>
        <v>0</v>
      </c>
      <c r="S681" s="307">
        <f t="shared" ca="1" si="311"/>
        <v>2.6792999999999987</v>
      </c>
      <c r="T681" s="304">
        <f t="shared" ca="1" si="291"/>
        <v>26.283932999999987</v>
      </c>
      <c r="U681" s="311">
        <f t="shared" ca="1" si="292"/>
        <v>0</v>
      </c>
      <c r="V681" s="306">
        <f t="shared" ca="1" si="293"/>
        <v>1.2262353030445483</v>
      </c>
      <c r="W681" s="304">
        <f t="shared" ca="1" si="294"/>
        <v>25.397361234297282</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0.31708648855566857</v>
      </c>
      <c r="AH681" s="304">
        <f t="shared" ca="1" si="318"/>
        <v>-9.4790877143663064</v>
      </c>
    </row>
    <row r="682" spans="1:34" x14ac:dyDescent="0.2">
      <c r="A682" s="347">
        <f t="shared" ca="1" si="296"/>
        <v>1E-4</v>
      </c>
      <c r="B682" s="304">
        <f t="shared" ca="1" si="297"/>
        <v>36.616400000000752</v>
      </c>
      <c r="D682" s="306">
        <f t="shared" ca="1" si="298"/>
        <v>-0.50307823907707194</v>
      </c>
      <c r="E682" s="307">
        <f t="shared" ca="1" si="299"/>
        <v>-0.34425597336937663</v>
      </c>
      <c r="F682" s="304">
        <f t="shared" ca="1" si="300"/>
        <v>0.60958993580388487</v>
      </c>
      <c r="G682" s="306">
        <f t="shared" ca="1" si="301"/>
        <v>5.3374662563155137</v>
      </c>
      <c r="H682" s="307">
        <f t="shared" ca="1" si="302"/>
        <v>-100.42887751515983</v>
      </c>
      <c r="I682" s="304">
        <f t="shared" ca="1" si="303"/>
        <v>100.57061193505925</v>
      </c>
      <c r="J682" s="306">
        <f t="shared" ca="1" si="304"/>
        <v>711.72888807733182</v>
      </c>
      <c r="K682" s="307">
        <f t="shared" ca="1" si="305"/>
        <v>-10.089067474275751</v>
      </c>
      <c r="L682" s="304">
        <f t="shared" ca="1" si="290"/>
        <v>711.80039295177107</v>
      </c>
      <c r="M682" s="306">
        <f t="shared" ca="1" si="306"/>
        <v>-1.5176995529347217</v>
      </c>
      <c r="N682" s="304">
        <f t="shared" ca="1" si="307"/>
        <v>-86.957778952051427</v>
      </c>
      <c r="P682" s="310">
        <f t="shared" ca="1" si="308"/>
        <v>23</v>
      </c>
      <c r="Q682" s="304">
        <f t="shared" ca="1" si="309"/>
        <v>0</v>
      </c>
      <c r="R682" s="306">
        <f t="shared" ca="1" si="310"/>
        <v>0</v>
      </c>
      <c r="S682" s="307">
        <f t="shared" ca="1" si="311"/>
        <v>2.6792999999999987</v>
      </c>
      <c r="T682" s="304">
        <f t="shared" ca="1" si="291"/>
        <v>26.283932999999987</v>
      </c>
      <c r="U682" s="311">
        <f t="shared" ca="1" si="292"/>
        <v>0</v>
      </c>
      <c r="V682" s="306">
        <f t="shared" ca="1" si="293"/>
        <v>1.2262365345396191</v>
      </c>
      <c r="W682" s="304">
        <f t="shared" ca="1" si="294"/>
        <v>25.397402754795415</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0.31707126105625605</v>
      </c>
      <c r="AH682" s="304">
        <f t="shared" ca="1" si="318"/>
        <v>-9.47910321139749</v>
      </c>
    </row>
    <row r="683" spans="1:34" x14ac:dyDescent="0.2">
      <c r="A683" s="347">
        <f t="shared" ca="1" si="296"/>
        <v>1E-4</v>
      </c>
      <c r="B683" s="304">
        <f t="shared" ca="1" si="297"/>
        <v>36.616500000000755</v>
      </c>
      <c r="D683" s="306">
        <f t="shared" ca="1" si="298"/>
        <v>-0.5030741612383498</v>
      </c>
      <c r="E683" s="307">
        <f t="shared" ca="1" si="299"/>
        <v>-0.34424023800301029</v>
      </c>
      <c r="F683" s="304">
        <f t="shared" ca="1" si="300"/>
        <v>0.60957768427497272</v>
      </c>
      <c r="G683" s="306">
        <f t="shared" ca="1" si="301"/>
        <v>5.3374159488993902</v>
      </c>
      <c r="H683" s="307">
        <f t="shared" ca="1" si="302"/>
        <v>-100.42891193918362</v>
      </c>
      <c r="I683" s="304">
        <f t="shared" ca="1" si="303"/>
        <v>100.5706436406761</v>
      </c>
      <c r="J683" s="306">
        <f t="shared" ca="1" si="304"/>
        <v>711.72888807733182</v>
      </c>
      <c r="K683" s="307">
        <f t="shared" ca="1" si="305"/>
        <v>-10.099110363748469</v>
      </c>
      <c r="L683" s="304">
        <f t="shared" ca="1" si="290"/>
        <v>711.80053537064327</v>
      </c>
      <c r="M683" s="306">
        <f t="shared" ca="1" si="306"/>
        <v>-1.517700070615247</v>
      </c>
      <c r="N683" s="304">
        <f t="shared" ca="1" si="307"/>
        <v>-86.957808612960662</v>
      </c>
      <c r="P683" s="310">
        <f t="shared" ca="1" si="308"/>
        <v>23</v>
      </c>
      <c r="Q683" s="304">
        <f t="shared" ca="1" si="309"/>
        <v>0</v>
      </c>
      <c r="R683" s="306">
        <f t="shared" ca="1" si="310"/>
        <v>0</v>
      </c>
      <c r="S683" s="307">
        <f t="shared" ca="1" si="311"/>
        <v>2.6792999999999987</v>
      </c>
      <c r="T683" s="304">
        <f t="shared" ca="1" si="291"/>
        <v>26.283932999999987</v>
      </c>
      <c r="U683" s="311">
        <f t="shared" ca="1" si="292"/>
        <v>0</v>
      </c>
      <c r="V683" s="306">
        <f t="shared" ca="1" si="293"/>
        <v>1.2262377660363497</v>
      </c>
      <c r="W683" s="304">
        <f t="shared" ca="1" si="294"/>
        <v>25.397444274596069</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0.31705603381184311</v>
      </c>
      <c r="AH683" s="304">
        <f t="shared" ca="1" si="318"/>
        <v>-9.4791187081683379</v>
      </c>
    </row>
    <row r="684" spans="1:34" x14ac:dyDescent="0.2">
      <c r="A684" s="347">
        <f t="shared" ca="1" si="296"/>
        <v>1E-4</v>
      </c>
      <c r="B684" s="304">
        <f t="shared" ca="1" si="297"/>
        <v>36.616600000000759</v>
      </c>
      <c r="D684" s="306">
        <f t="shared" ca="1" si="298"/>
        <v>-0.50307008341893222</v>
      </c>
      <c r="E684" s="307">
        <f t="shared" ca="1" si="299"/>
        <v>-0.34422450290090367</v>
      </c>
      <c r="F684" s="304">
        <f t="shared" ca="1" si="300"/>
        <v>0.6095654330984539</v>
      </c>
      <c r="G684" s="306">
        <f t="shared" ca="1" si="301"/>
        <v>5.337365641891048</v>
      </c>
      <c r="H684" s="307">
        <f t="shared" ca="1" si="302"/>
        <v>-100.4289463616339</v>
      </c>
      <c r="I684" s="304">
        <f t="shared" ca="1" si="303"/>
        <v>100.57067534477025</v>
      </c>
      <c r="J684" s="306">
        <f t="shared" ca="1" si="304"/>
        <v>711.72888807733182</v>
      </c>
      <c r="K684" s="307">
        <f t="shared" ca="1" si="305"/>
        <v>-10.109153256663509</v>
      </c>
      <c r="L684" s="304">
        <f t="shared" ca="1" si="290"/>
        <v>711.80067793123226</v>
      </c>
      <c r="M684" s="306">
        <f t="shared" ca="1" si="306"/>
        <v>-1.5177005882905665</v>
      </c>
      <c r="N684" s="304">
        <f t="shared" ca="1" si="307"/>
        <v>-86.957838273571625</v>
      </c>
      <c r="P684" s="310">
        <f t="shared" ca="1" si="308"/>
        <v>23</v>
      </c>
      <c r="Q684" s="304">
        <f t="shared" ca="1" si="309"/>
        <v>0</v>
      </c>
      <c r="R684" s="306">
        <f t="shared" ca="1" si="310"/>
        <v>0</v>
      </c>
      <c r="S684" s="307">
        <f t="shared" ca="1" si="311"/>
        <v>2.6792999999999987</v>
      </c>
      <c r="T684" s="304">
        <f t="shared" ca="1" si="291"/>
        <v>26.283932999999987</v>
      </c>
      <c r="U684" s="311">
        <f t="shared" ca="1" si="292"/>
        <v>0</v>
      </c>
      <c r="V684" s="306">
        <f t="shared" ca="1" si="293"/>
        <v>1.2262389975347396</v>
      </c>
      <c r="W684" s="304">
        <f t="shared" ca="1" si="294"/>
        <v>25.397485793699236</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0.31704080682241553</v>
      </c>
      <c r="AH684" s="304">
        <f t="shared" ca="1" si="318"/>
        <v>-9.4791342046788643</v>
      </c>
    </row>
    <row r="685" spans="1:34" x14ac:dyDescent="0.2">
      <c r="A685" s="347">
        <f t="shared" ca="1" si="296"/>
        <v>1E-4</v>
      </c>
      <c r="B685" s="304">
        <f t="shared" ca="1" si="297"/>
        <v>36.616700000000762</v>
      </c>
      <c r="D685" s="306">
        <f t="shared" ca="1" si="298"/>
        <v>-0.50306600561881976</v>
      </c>
      <c r="E685" s="307">
        <f t="shared" ca="1" si="299"/>
        <v>-0.344208768063055</v>
      </c>
      <c r="F685" s="304">
        <f t="shared" ca="1" si="300"/>
        <v>0.6095531822743282</v>
      </c>
      <c r="G685" s="306">
        <f t="shared" ca="1" si="301"/>
        <v>5.3373153352904863</v>
      </c>
      <c r="H685" s="307">
        <f t="shared" ca="1" si="302"/>
        <v>-100.42898078251071</v>
      </c>
      <c r="I685" s="304">
        <f t="shared" ca="1" si="303"/>
        <v>100.57070704734173</v>
      </c>
      <c r="J685" s="306">
        <f t="shared" ca="1" si="304"/>
        <v>711.72888807733182</v>
      </c>
      <c r="K685" s="307">
        <f t="shared" ca="1" si="305"/>
        <v>-10.119196153020717</v>
      </c>
      <c r="L685" s="304">
        <f t="shared" ca="1" si="290"/>
        <v>711.80082063353825</v>
      </c>
      <c r="M685" s="306">
        <f t="shared" ca="1" si="306"/>
        <v>-1.5177011059606806</v>
      </c>
      <c r="N685" s="304">
        <f t="shared" ca="1" si="307"/>
        <v>-86.957867933884344</v>
      </c>
      <c r="P685" s="310">
        <f t="shared" ca="1" si="308"/>
        <v>23</v>
      </c>
      <c r="Q685" s="304">
        <f t="shared" ca="1" si="309"/>
        <v>0</v>
      </c>
      <c r="R685" s="306">
        <f t="shared" ca="1" si="310"/>
        <v>0</v>
      </c>
      <c r="S685" s="307">
        <f t="shared" ca="1" si="311"/>
        <v>2.6792999999999987</v>
      </c>
      <c r="T685" s="304">
        <f t="shared" ca="1" si="291"/>
        <v>26.283932999999987</v>
      </c>
      <c r="U685" s="311">
        <f t="shared" ca="1" si="292"/>
        <v>0</v>
      </c>
      <c r="V685" s="306">
        <f t="shared" ca="1" si="293"/>
        <v>1.2262402290347891</v>
      </c>
      <c r="W685" s="304">
        <f t="shared" ca="1" si="294"/>
        <v>25.397527312104931</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0.3170255800879751</v>
      </c>
      <c r="AH685" s="304">
        <f t="shared" ca="1" si="318"/>
        <v>-9.4791497009290673</v>
      </c>
    </row>
    <row r="686" spans="1:34" x14ac:dyDescent="0.2">
      <c r="A686" s="347">
        <f t="shared" ca="1" si="296"/>
        <v>1E-4</v>
      </c>
      <c r="B686" s="304">
        <f t="shared" ca="1" si="297"/>
        <v>36.616800000000765</v>
      </c>
      <c r="D686" s="306">
        <f t="shared" ca="1" si="298"/>
        <v>-0.50306192783800907</v>
      </c>
      <c r="E686" s="307">
        <f t="shared" ca="1" si="299"/>
        <v>-0.34419303348946606</v>
      </c>
      <c r="F686" s="304">
        <f t="shared" ca="1" si="300"/>
        <v>0.60954093180259439</v>
      </c>
      <c r="G686" s="306">
        <f t="shared" ca="1" si="301"/>
        <v>5.3372650290977024</v>
      </c>
      <c r="H686" s="307">
        <f t="shared" ca="1" si="302"/>
        <v>-100.42901520181405</v>
      </c>
      <c r="I686" s="304">
        <f t="shared" ca="1" si="303"/>
        <v>100.57073874839057</v>
      </c>
      <c r="J686" s="306">
        <f t="shared" ca="1" si="304"/>
        <v>711.72888807733182</v>
      </c>
      <c r="K686" s="307">
        <f t="shared" ca="1" si="305"/>
        <v>-10.129239052819933</v>
      </c>
      <c r="L686" s="304">
        <f t="shared" ca="1" si="290"/>
        <v>711.80096347756114</v>
      </c>
      <c r="M686" s="306">
        <f t="shared" ca="1" si="306"/>
        <v>-1.5177016236255891</v>
      </c>
      <c r="N686" s="304">
        <f t="shared" ca="1" si="307"/>
        <v>-86.957897593898807</v>
      </c>
      <c r="P686" s="310">
        <f t="shared" ca="1" si="308"/>
        <v>23</v>
      </c>
      <c r="Q686" s="304">
        <f t="shared" ca="1" si="309"/>
        <v>0</v>
      </c>
      <c r="R686" s="306">
        <f t="shared" ca="1" si="310"/>
        <v>0</v>
      </c>
      <c r="S686" s="307">
        <f t="shared" ca="1" si="311"/>
        <v>2.6792999999999987</v>
      </c>
      <c r="T686" s="304">
        <f t="shared" ca="1" si="291"/>
        <v>26.283932999999987</v>
      </c>
      <c r="U686" s="311">
        <f t="shared" ca="1" si="292"/>
        <v>0</v>
      </c>
      <c r="V686" s="306">
        <f t="shared" ca="1" si="293"/>
        <v>1.2262414605364982</v>
      </c>
      <c r="W686" s="304">
        <f t="shared" ca="1" si="294"/>
        <v>25.397568829813171</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0.31701035360852003</v>
      </c>
      <c r="AH686" s="304">
        <f t="shared" ca="1" si="318"/>
        <v>-9.4791651969189505</v>
      </c>
    </row>
    <row r="687" spans="1:34" x14ac:dyDescent="0.2">
      <c r="A687" s="347">
        <f t="shared" ca="1" si="296"/>
        <v>1E-4</v>
      </c>
      <c r="B687" s="304">
        <f t="shared" ca="1" si="297"/>
        <v>36.616900000000769</v>
      </c>
      <c r="D687" s="306">
        <f t="shared" ca="1" si="298"/>
        <v>-0.50305785007650317</v>
      </c>
      <c r="E687" s="307">
        <f t="shared" ca="1" si="299"/>
        <v>-0.34417729918012441</v>
      </c>
      <c r="F687" s="304">
        <f t="shared" ca="1" si="300"/>
        <v>0.60952868168324814</v>
      </c>
      <c r="G687" s="306">
        <f t="shared" ca="1" si="301"/>
        <v>5.3372147233126945</v>
      </c>
      <c r="H687" s="307">
        <f t="shared" ca="1" si="302"/>
        <v>-100.42904961954397</v>
      </c>
      <c r="I687" s="304">
        <f t="shared" ca="1" si="303"/>
        <v>100.57077044791679</v>
      </c>
      <c r="J687" s="306">
        <f t="shared" ca="1" si="304"/>
        <v>711.72888807733182</v>
      </c>
      <c r="K687" s="307">
        <f t="shared" ca="1" si="305"/>
        <v>-10.139281956061001</v>
      </c>
      <c r="L687" s="304">
        <f t="shared" ca="1" si="290"/>
        <v>711.80110646330104</v>
      </c>
      <c r="M687" s="306">
        <f t="shared" ca="1" si="306"/>
        <v>-1.517702141285292</v>
      </c>
      <c r="N687" s="304">
        <f t="shared" ca="1" si="307"/>
        <v>-86.957927253615011</v>
      </c>
      <c r="P687" s="310">
        <f t="shared" ca="1" si="308"/>
        <v>23</v>
      </c>
      <c r="Q687" s="304">
        <f t="shared" ca="1" si="309"/>
        <v>0</v>
      </c>
      <c r="R687" s="306">
        <f t="shared" ca="1" si="310"/>
        <v>0</v>
      </c>
      <c r="S687" s="307">
        <f t="shared" ca="1" si="311"/>
        <v>2.6792999999999987</v>
      </c>
      <c r="T687" s="304">
        <f t="shared" ca="1" si="291"/>
        <v>26.283932999999987</v>
      </c>
      <c r="U687" s="311">
        <f t="shared" ca="1" si="292"/>
        <v>0</v>
      </c>
      <c r="V687" s="306">
        <f t="shared" ca="1" si="293"/>
        <v>1.2262426920398664</v>
      </c>
      <c r="W687" s="304">
        <f t="shared" ca="1" si="294"/>
        <v>25.397610346823953</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0.31699512738404323</v>
      </c>
      <c r="AH687" s="304">
        <f t="shared" ca="1" si="318"/>
        <v>-9.4791806926485211</v>
      </c>
    </row>
    <row r="688" spans="1:34" x14ac:dyDescent="0.2">
      <c r="A688" s="347">
        <f t="shared" ca="1" si="296"/>
        <v>1E-4</v>
      </c>
      <c r="B688" s="304">
        <f t="shared" ca="1" si="297"/>
        <v>36.617000000000772</v>
      </c>
      <c r="D688" s="306">
        <f t="shared" ca="1" si="298"/>
        <v>-0.50305377233430282</v>
      </c>
      <c r="E688" s="307">
        <f t="shared" ca="1" si="299"/>
        <v>-0.3441615651350336</v>
      </c>
      <c r="F688" s="304">
        <f t="shared" ca="1" si="300"/>
        <v>0.60951643191629257</v>
      </c>
      <c r="G688" s="306">
        <f t="shared" ca="1" si="301"/>
        <v>5.3371644179354609</v>
      </c>
      <c r="H688" s="307">
        <f t="shared" ca="1" si="302"/>
        <v>-100.42908403570048</v>
      </c>
      <c r="I688" s="304">
        <f t="shared" ca="1" si="303"/>
        <v>100.5708021459204</v>
      </c>
      <c r="J688" s="306">
        <f t="shared" ca="1" si="304"/>
        <v>711.72888807733182</v>
      </c>
      <c r="K688" s="307">
        <f t="shared" ca="1" si="305"/>
        <v>-10.149324862743764</v>
      </c>
      <c r="L688" s="304">
        <f t="shared" ca="1" si="290"/>
        <v>711.80124959075806</v>
      </c>
      <c r="M688" s="306">
        <f t="shared" ca="1" si="306"/>
        <v>-1.5177026589397895</v>
      </c>
      <c r="N688" s="304">
        <f t="shared" ca="1" si="307"/>
        <v>-86.957956913032959</v>
      </c>
      <c r="P688" s="310">
        <f t="shared" ca="1" si="308"/>
        <v>23</v>
      </c>
      <c r="Q688" s="304">
        <f t="shared" ca="1" si="309"/>
        <v>0</v>
      </c>
      <c r="R688" s="306">
        <f t="shared" ca="1" si="310"/>
        <v>0</v>
      </c>
      <c r="S688" s="307">
        <f t="shared" ca="1" si="311"/>
        <v>2.6792999999999987</v>
      </c>
      <c r="T688" s="304">
        <f t="shared" ca="1" si="291"/>
        <v>26.283932999999987</v>
      </c>
      <c r="U688" s="311">
        <f t="shared" ca="1" si="292"/>
        <v>0</v>
      </c>
      <c r="V688" s="306">
        <f t="shared" ca="1" si="293"/>
        <v>1.2262439235448945</v>
      </c>
      <c r="W688" s="304">
        <f t="shared" ca="1" si="294"/>
        <v>25.397651863137291</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0.31697990141454468</v>
      </c>
      <c r="AH688" s="304">
        <f t="shared" ca="1" si="318"/>
        <v>-9.4791961881177791</v>
      </c>
    </row>
    <row r="689" spans="1:34" x14ac:dyDescent="0.2">
      <c r="A689" s="347">
        <f t="shared" ca="1" si="296"/>
        <v>1E-4</v>
      </c>
      <c r="B689" s="304">
        <f t="shared" ca="1" si="297"/>
        <v>36.617100000000775</v>
      </c>
      <c r="D689" s="306">
        <f t="shared" ca="1" si="298"/>
        <v>-0.50304969461140669</v>
      </c>
      <c r="E689" s="307">
        <f t="shared" ca="1" si="299"/>
        <v>-0.3441458313541883</v>
      </c>
      <c r="F689" s="304">
        <f t="shared" ca="1" si="300"/>
        <v>0.609504182501724</v>
      </c>
      <c r="G689" s="306">
        <f t="shared" ca="1" si="301"/>
        <v>5.3371141129659998</v>
      </c>
      <c r="H689" s="307">
        <f t="shared" ca="1" si="302"/>
        <v>-100.42911845028362</v>
      </c>
      <c r="I689" s="304">
        <f t="shared" ca="1" si="303"/>
        <v>100.57083384240144</v>
      </c>
      <c r="J689" s="306">
        <f t="shared" ca="1" si="304"/>
        <v>711.72888807733182</v>
      </c>
      <c r="K689" s="307">
        <f t="shared" ca="1" si="305"/>
        <v>-10.159367772868064</v>
      </c>
      <c r="L689" s="304">
        <f t="shared" ca="1" si="290"/>
        <v>711.80139285993221</v>
      </c>
      <c r="M689" s="306">
        <f t="shared" ca="1" si="306"/>
        <v>-1.5177031765890816</v>
      </c>
      <c r="N689" s="304">
        <f t="shared" ca="1" si="307"/>
        <v>-86.957986572152663</v>
      </c>
      <c r="P689" s="310">
        <f t="shared" ca="1" si="308"/>
        <v>23</v>
      </c>
      <c r="Q689" s="304">
        <f t="shared" ca="1" si="309"/>
        <v>0</v>
      </c>
      <c r="R689" s="306">
        <f t="shared" ca="1" si="310"/>
        <v>0</v>
      </c>
      <c r="S689" s="307">
        <f t="shared" ca="1" si="311"/>
        <v>2.6792999999999987</v>
      </c>
      <c r="T689" s="304">
        <f t="shared" ca="1" si="291"/>
        <v>26.283932999999987</v>
      </c>
      <c r="U689" s="311">
        <f t="shared" ca="1" si="292"/>
        <v>0</v>
      </c>
      <c r="V689" s="306">
        <f t="shared" ca="1" si="293"/>
        <v>1.2262451550515814</v>
      </c>
      <c r="W689" s="304">
        <f t="shared" ca="1" si="294"/>
        <v>25.397693378753193</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0.3169646757000173</v>
      </c>
      <c r="AH689" s="304">
        <f t="shared" ca="1" si="318"/>
        <v>-9.4792116833267279</v>
      </c>
    </row>
    <row r="690" spans="1:34" x14ac:dyDescent="0.2">
      <c r="A690" s="347">
        <f t="shared" ca="1" si="296"/>
        <v>1E-4</v>
      </c>
      <c r="B690" s="304">
        <f t="shared" ca="1" si="297"/>
        <v>36.617200000000778</v>
      </c>
      <c r="D690" s="306">
        <f t="shared" ca="1" si="298"/>
        <v>-0.5030456169078158</v>
      </c>
      <c r="E690" s="307">
        <f t="shared" ca="1" si="299"/>
        <v>-0.34413009783758319</v>
      </c>
      <c r="F690" s="304">
        <f t="shared" ca="1" si="300"/>
        <v>0.60949193343954078</v>
      </c>
      <c r="G690" s="306">
        <f t="shared" ca="1" si="301"/>
        <v>5.3370638084043094</v>
      </c>
      <c r="H690" s="307">
        <f t="shared" ca="1" si="302"/>
        <v>-100.42915286329341</v>
      </c>
      <c r="I690" s="304">
        <f t="shared" ca="1" si="303"/>
        <v>100.57086553735995</v>
      </c>
      <c r="J690" s="306">
        <f t="shared" ca="1" si="304"/>
        <v>711.72888807733182</v>
      </c>
      <c r="K690" s="307">
        <f t="shared" ca="1" si="305"/>
        <v>-10.169410686433743</v>
      </c>
      <c r="L690" s="304">
        <f t="shared" ca="1" si="290"/>
        <v>711.80153627082348</v>
      </c>
      <c r="M690" s="306">
        <f t="shared" ca="1" si="306"/>
        <v>-1.5177036942331683</v>
      </c>
      <c r="N690" s="304">
        <f t="shared" ca="1" si="307"/>
        <v>-86.958016230974124</v>
      </c>
      <c r="P690" s="310">
        <f t="shared" ca="1" si="308"/>
        <v>23</v>
      </c>
      <c r="Q690" s="304">
        <f t="shared" ca="1" si="309"/>
        <v>0</v>
      </c>
      <c r="R690" s="306">
        <f t="shared" ca="1" si="310"/>
        <v>0</v>
      </c>
      <c r="S690" s="307">
        <f t="shared" ca="1" si="311"/>
        <v>2.6792999999999987</v>
      </c>
      <c r="T690" s="304">
        <f t="shared" ca="1" si="291"/>
        <v>26.283932999999987</v>
      </c>
      <c r="U690" s="311">
        <f t="shared" ca="1" si="292"/>
        <v>0</v>
      </c>
      <c r="V690" s="306">
        <f t="shared" ca="1" si="293"/>
        <v>1.2262463865599282</v>
      </c>
      <c r="W690" s="304">
        <f t="shared" ca="1" si="294"/>
        <v>25.397734893671679</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0.31694945024046106</v>
      </c>
      <c r="AH690" s="304">
        <f t="shared" ca="1" si="318"/>
        <v>-9.479227178275373</v>
      </c>
    </row>
    <row r="691" spans="1:34" x14ac:dyDescent="0.2">
      <c r="A691" s="347">
        <f t="shared" ca="1" si="296"/>
        <v>1E-4</v>
      </c>
      <c r="B691" s="304">
        <f t="shared" ca="1" si="297"/>
        <v>36.617300000000782</v>
      </c>
      <c r="D691" s="306">
        <f t="shared" ca="1" si="298"/>
        <v>-0.5030415392235309</v>
      </c>
      <c r="E691" s="307">
        <f t="shared" ca="1" si="299"/>
        <v>-0.34411436458521649</v>
      </c>
      <c r="F691" s="304">
        <f t="shared" ca="1" si="300"/>
        <v>0.60947968472974268</v>
      </c>
      <c r="G691" s="306">
        <f t="shared" ca="1" si="301"/>
        <v>5.337013504250387</v>
      </c>
      <c r="H691" s="307">
        <f t="shared" ca="1" si="302"/>
        <v>-100.42918727472987</v>
      </c>
      <c r="I691" s="304">
        <f t="shared" ca="1" si="303"/>
        <v>100.57089723079592</v>
      </c>
      <c r="J691" s="306">
        <f t="shared" ca="1" si="304"/>
        <v>711.72888807733182</v>
      </c>
      <c r="K691" s="307">
        <f t="shared" ca="1" si="305"/>
        <v>-10.179453603440644</v>
      </c>
      <c r="L691" s="304">
        <f t="shared" ca="1" si="290"/>
        <v>711.8016798234321</v>
      </c>
      <c r="M691" s="306">
        <f t="shared" ca="1" si="306"/>
        <v>-1.5177042118720496</v>
      </c>
      <c r="N691" s="304">
        <f t="shared" ca="1" si="307"/>
        <v>-86.958045889497328</v>
      </c>
      <c r="P691" s="310">
        <f t="shared" ca="1" si="308"/>
        <v>23</v>
      </c>
      <c r="Q691" s="304">
        <f t="shared" ca="1" si="309"/>
        <v>0</v>
      </c>
      <c r="R691" s="306">
        <f t="shared" ca="1" si="310"/>
        <v>0</v>
      </c>
      <c r="S691" s="307">
        <f t="shared" ca="1" si="311"/>
        <v>2.6792999999999987</v>
      </c>
      <c r="T691" s="304">
        <f t="shared" ca="1" si="291"/>
        <v>26.283932999999987</v>
      </c>
      <c r="U691" s="311">
        <f t="shared" ca="1" si="292"/>
        <v>0</v>
      </c>
      <c r="V691" s="306">
        <f t="shared" ca="1" si="293"/>
        <v>1.2262476180699344</v>
      </c>
      <c r="W691" s="304">
        <f t="shared" ca="1" si="294"/>
        <v>25.397776407892746</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0.31693422503586888</v>
      </c>
      <c r="AH691" s="304">
        <f t="shared" ca="1" si="318"/>
        <v>-9.4792426729637178</v>
      </c>
    </row>
    <row r="692" spans="1:34" x14ac:dyDescent="0.2">
      <c r="A692" s="347">
        <f t="shared" ca="1" si="296"/>
        <v>1E-4</v>
      </c>
      <c r="B692" s="304">
        <f t="shared" ca="1" si="297"/>
        <v>36.617400000000785</v>
      </c>
      <c r="D692" s="306">
        <f t="shared" ca="1" si="298"/>
        <v>-0.50303746155855278</v>
      </c>
      <c r="E692" s="307">
        <f t="shared" ca="1" si="299"/>
        <v>-0.34409863159708287</v>
      </c>
      <c r="F692" s="304">
        <f t="shared" ca="1" si="300"/>
        <v>0.60946743637232781</v>
      </c>
      <c r="G692" s="306">
        <f t="shared" ca="1" si="301"/>
        <v>5.3369632005042309</v>
      </c>
      <c r="H692" s="307">
        <f t="shared" ca="1" si="302"/>
        <v>-100.42922168459303</v>
      </c>
      <c r="I692" s="304">
        <f t="shared" ca="1" si="303"/>
        <v>100.5709289227094</v>
      </c>
      <c r="J692" s="306">
        <f t="shared" ca="1" si="304"/>
        <v>711.72888807733182</v>
      </c>
      <c r="K692" s="307">
        <f t="shared" ca="1" si="305"/>
        <v>-10.189496523888609</v>
      </c>
      <c r="L692" s="304">
        <f t="shared" ca="1" si="290"/>
        <v>711.80182351775795</v>
      </c>
      <c r="M692" s="306">
        <f t="shared" ca="1" si="306"/>
        <v>-1.517704729505726</v>
      </c>
      <c r="N692" s="304">
        <f t="shared" ca="1" si="307"/>
        <v>-86.958075547722331</v>
      </c>
      <c r="P692" s="310">
        <f t="shared" ca="1" si="308"/>
        <v>23</v>
      </c>
      <c r="Q692" s="304">
        <f t="shared" ca="1" si="309"/>
        <v>0</v>
      </c>
      <c r="R692" s="306">
        <f t="shared" ca="1" si="310"/>
        <v>0</v>
      </c>
      <c r="S692" s="307">
        <f t="shared" ca="1" si="311"/>
        <v>2.6792999999999987</v>
      </c>
      <c r="T692" s="304">
        <f t="shared" ca="1" si="291"/>
        <v>26.283932999999987</v>
      </c>
      <c r="U692" s="311">
        <f t="shared" ca="1" si="292"/>
        <v>0</v>
      </c>
      <c r="V692" s="306">
        <f t="shared" ca="1" si="293"/>
        <v>1.2262488495816002</v>
      </c>
      <c r="W692" s="304">
        <f t="shared" ca="1" si="294"/>
        <v>25.397817921416408</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0.31691900008624074</v>
      </c>
      <c r="AH692" s="304">
        <f t="shared" ca="1" si="318"/>
        <v>-9.479258167391766</v>
      </c>
    </row>
    <row r="693" spans="1:34" x14ac:dyDescent="0.2">
      <c r="A693" s="347">
        <f t="shared" ca="1" si="296"/>
        <v>1E-4</v>
      </c>
      <c r="B693" s="304">
        <f t="shared" ca="1" si="297"/>
        <v>36.617500000000788</v>
      </c>
      <c r="D693" s="306">
        <f t="shared" ca="1" si="298"/>
        <v>-0.50303338391287822</v>
      </c>
      <c r="E693" s="307">
        <f t="shared" ca="1" si="299"/>
        <v>-0.34408289887318055</v>
      </c>
      <c r="F693" s="304">
        <f t="shared" ca="1" si="300"/>
        <v>0.60945518836729295</v>
      </c>
      <c r="G693" s="306">
        <f t="shared" ca="1" si="301"/>
        <v>5.3369128971658393</v>
      </c>
      <c r="H693" s="307">
        <f t="shared" ca="1" si="302"/>
        <v>-100.42925609288292</v>
      </c>
      <c r="I693" s="304">
        <f t="shared" ca="1" si="303"/>
        <v>100.57096061310043</v>
      </c>
      <c r="J693" s="306">
        <f t="shared" ca="1" si="304"/>
        <v>711.72888807733182</v>
      </c>
      <c r="K693" s="307">
        <f t="shared" ca="1" si="305"/>
        <v>-10.199539447777482</v>
      </c>
      <c r="L693" s="304">
        <f t="shared" ca="1" si="290"/>
        <v>711.80196735380127</v>
      </c>
      <c r="M693" s="306">
        <f t="shared" ca="1" si="306"/>
        <v>-1.517705247134197</v>
      </c>
      <c r="N693" s="304">
        <f t="shared" ca="1" si="307"/>
        <v>-86.958105205649062</v>
      </c>
      <c r="P693" s="310">
        <f t="shared" ca="1" si="308"/>
        <v>23</v>
      </c>
      <c r="Q693" s="304">
        <f t="shared" ca="1" si="309"/>
        <v>0</v>
      </c>
      <c r="R693" s="306">
        <f t="shared" ca="1" si="310"/>
        <v>0</v>
      </c>
      <c r="S693" s="307">
        <f t="shared" ca="1" si="311"/>
        <v>2.6792999999999987</v>
      </c>
      <c r="T693" s="304">
        <f t="shared" ca="1" si="291"/>
        <v>26.283932999999987</v>
      </c>
      <c r="U693" s="311">
        <f t="shared" ca="1" si="292"/>
        <v>0</v>
      </c>
      <c r="V693" s="306">
        <f t="shared" ca="1" si="293"/>
        <v>1.2262500810949248</v>
      </c>
      <c r="W693" s="304">
        <f t="shared" ca="1" si="294"/>
        <v>25.397859434242672</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0.31690377539156955</v>
      </c>
      <c r="AH693" s="304">
        <f t="shared" ca="1" si="318"/>
        <v>-9.4792736615595192</v>
      </c>
    </row>
    <row r="694" spans="1:34" x14ac:dyDescent="0.2">
      <c r="A694" s="347">
        <f t="shared" ca="1" si="296"/>
        <v>1E-4</v>
      </c>
      <c r="B694" s="304">
        <f t="shared" ca="1" si="297"/>
        <v>36.617600000000792</v>
      </c>
      <c r="D694" s="306">
        <f t="shared" ca="1" si="298"/>
        <v>-0.50302930628651199</v>
      </c>
      <c r="E694" s="307">
        <f t="shared" ca="1" si="299"/>
        <v>-0.34406716641350599</v>
      </c>
      <c r="F694" s="304">
        <f t="shared" ca="1" si="300"/>
        <v>0.60944294071464045</v>
      </c>
      <c r="G694" s="306">
        <f t="shared" ca="1" si="301"/>
        <v>5.3368625942352104</v>
      </c>
      <c r="H694" s="307">
        <f t="shared" ca="1" si="302"/>
        <v>-100.42929049959956</v>
      </c>
      <c r="I694" s="304">
        <f t="shared" ca="1" si="303"/>
        <v>100.57099230196899</v>
      </c>
      <c r="J694" s="306">
        <f t="shared" ca="1" si="304"/>
        <v>711.72888807733182</v>
      </c>
      <c r="K694" s="307">
        <f t="shared" ca="1" si="305"/>
        <v>-10.209582375107107</v>
      </c>
      <c r="L694" s="304">
        <f t="shared" ca="1" si="290"/>
        <v>711.80211133156183</v>
      </c>
      <c r="M694" s="306">
        <f t="shared" ca="1" si="306"/>
        <v>-1.517705764757463</v>
      </c>
      <c r="N694" s="304">
        <f t="shared" ca="1" si="307"/>
        <v>-86.958134863277593</v>
      </c>
      <c r="P694" s="310">
        <f t="shared" ca="1" si="308"/>
        <v>23</v>
      </c>
      <c r="Q694" s="304">
        <f t="shared" ca="1" si="309"/>
        <v>0</v>
      </c>
      <c r="R694" s="306">
        <f t="shared" ca="1" si="310"/>
        <v>0</v>
      </c>
      <c r="S694" s="307">
        <f t="shared" ca="1" si="311"/>
        <v>2.6792999999999987</v>
      </c>
      <c r="T694" s="304">
        <f t="shared" ca="1" si="291"/>
        <v>26.283932999999987</v>
      </c>
      <c r="U694" s="311">
        <f t="shared" ca="1" si="292"/>
        <v>0</v>
      </c>
      <c r="V694" s="306">
        <f t="shared" ca="1" si="293"/>
        <v>1.2262513126099093</v>
      </c>
      <c r="W694" s="304">
        <f t="shared" ca="1" si="294"/>
        <v>25.39790094637155</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0.31688855095185886</v>
      </c>
      <c r="AH694" s="304">
        <f t="shared" ca="1" si="318"/>
        <v>-9.4792891554669811</v>
      </c>
    </row>
    <row r="695" spans="1:34" x14ac:dyDescent="0.2">
      <c r="A695" s="347">
        <f t="shared" ca="1" si="296"/>
        <v>1E-4</v>
      </c>
      <c r="B695" s="304">
        <f t="shared" ca="1" si="297"/>
        <v>36.617700000000795</v>
      </c>
      <c r="D695" s="306">
        <f t="shared" ca="1" si="298"/>
        <v>-0.50302522867945099</v>
      </c>
      <c r="E695" s="307">
        <f t="shared" ca="1" si="299"/>
        <v>-0.34405143421805562</v>
      </c>
      <c r="F695" s="304">
        <f t="shared" ca="1" si="300"/>
        <v>0.60943069341436606</v>
      </c>
      <c r="G695" s="306">
        <f t="shared" ca="1" si="301"/>
        <v>5.3368122917123424</v>
      </c>
      <c r="H695" s="307">
        <f t="shared" ca="1" si="302"/>
        <v>-100.42932490474298</v>
      </c>
      <c r="I695" s="304">
        <f t="shared" ca="1" si="303"/>
        <v>100.57102398931514</v>
      </c>
      <c r="J695" s="306">
        <f t="shared" ca="1" si="304"/>
        <v>711.72888807733182</v>
      </c>
      <c r="K695" s="307">
        <f t="shared" ca="1" si="305"/>
        <v>-10.219625305877324</v>
      </c>
      <c r="L695" s="304">
        <f t="shared" ca="1" si="290"/>
        <v>711.80225545104008</v>
      </c>
      <c r="M695" s="306">
        <f t="shared" ca="1" si="306"/>
        <v>-1.5177062823755239</v>
      </c>
      <c r="N695" s="304">
        <f t="shared" ca="1" si="307"/>
        <v>-86.95816452060788</v>
      </c>
      <c r="P695" s="310">
        <f t="shared" ca="1" si="308"/>
        <v>23</v>
      </c>
      <c r="Q695" s="304">
        <f t="shared" ca="1" si="309"/>
        <v>0</v>
      </c>
      <c r="R695" s="306">
        <f t="shared" ca="1" si="310"/>
        <v>0</v>
      </c>
      <c r="S695" s="307">
        <f t="shared" ca="1" si="311"/>
        <v>2.6792999999999987</v>
      </c>
      <c r="T695" s="304">
        <f t="shared" ca="1" si="291"/>
        <v>26.283932999999987</v>
      </c>
      <c r="U695" s="311">
        <f t="shared" ca="1" si="292"/>
        <v>0</v>
      </c>
      <c r="V695" s="306">
        <f t="shared" ca="1" si="293"/>
        <v>1.2262525441265524</v>
      </c>
      <c r="W695" s="304">
        <f t="shared" ca="1" si="294"/>
        <v>25.397942457803047</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0.31687332676709445</v>
      </c>
      <c r="AH695" s="304">
        <f t="shared" ca="1" si="318"/>
        <v>-9.479304649114157</v>
      </c>
    </row>
    <row r="696" spans="1:34" x14ac:dyDescent="0.2">
      <c r="A696" s="347">
        <f t="shared" ca="1" si="296"/>
        <v>1E-4</v>
      </c>
      <c r="B696" s="304">
        <f t="shared" ca="1" si="297"/>
        <v>36.617800000000798</v>
      </c>
      <c r="D696" s="306">
        <f t="shared" ca="1" si="298"/>
        <v>-0.50302115109169798</v>
      </c>
      <c r="E696" s="307">
        <f t="shared" ca="1" si="299"/>
        <v>-0.3440357022868259</v>
      </c>
      <c r="F696" s="304">
        <f t="shared" ca="1" si="300"/>
        <v>0.60941844646647048</v>
      </c>
      <c r="G696" s="306">
        <f t="shared" ca="1" si="301"/>
        <v>5.3367619895972336</v>
      </c>
      <c r="H696" s="307">
        <f t="shared" ca="1" si="302"/>
        <v>-100.42935930831321</v>
      </c>
      <c r="I696" s="304">
        <f t="shared" ca="1" si="303"/>
        <v>100.57105567513889</v>
      </c>
      <c r="J696" s="306">
        <f t="shared" ca="1" si="304"/>
        <v>711.72888807733182</v>
      </c>
      <c r="K696" s="307">
        <f t="shared" ca="1" si="305"/>
        <v>-10.229668240087976</v>
      </c>
      <c r="L696" s="304">
        <f t="shared" ca="1" si="290"/>
        <v>711.80239971223568</v>
      </c>
      <c r="M696" s="306">
        <f t="shared" ca="1" si="306"/>
        <v>-1.51770679998838</v>
      </c>
      <c r="N696" s="304">
        <f t="shared" ca="1" si="307"/>
        <v>-86.958194177639953</v>
      </c>
      <c r="P696" s="310">
        <f t="shared" ca="1" si="308"/>
        <v>23</v>
      </c>
      <c r="Q696" s="304">
        <f t="shared" ca="1" si="309"/>
        <v>0</v>
      </c>
      <c r="R696" s="306">
        <f t="shared" ca="1" si="310"/>
        <v>0</v>
      </c>
      <c r="S696" s="307">
        <f t="shared" ca="1" si="311"/>
        <v>2.6792999999999987</v>
      </c>
      <c r="T696" s="304">
        <f t="shared" ca="1" si="291"/>
        <v>26.283932999999987</v>
      </c>
      <c r="U696" s="311">
        <f t="shared" ca="1" si="292"/>
        <v>0</v>
      </c>
      <c r="V696" s="306">
        <f t="shared" ca="1" si="293"/>
        <v>1.2262537756448557</v>
      </c>
      <c r="W696" s="304">
        <f t="shared" ca="1" si="294"/>
        <v>25.39798396853719</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0.31685810283728522</v>
      </c>
      <c r="AH696" s="304">
        <f t="shared" ca="1" si="318"/>
        <v>-9.4793201425010487</v>
      </c>
    </row>
    <row r="697" spans="1:34" x14ac:dyDescent="0.2">
      <c r="A697" s="347">
        <f t="shared" ca="1" si="296"/>
        <v>1E-4</v>
      </c>
      <c r="B697" s="304">
        <f t="shared" ca="1" si="297"/>
        <v>36.617900000000802</v>
      </c>
      <c r="D697" s="306">
        <f t="shared" ca="1" si="298"/>
        <v>-0.50301707352324987</v>
      </c>
      <c r="E697" s="307">
        <f t="shared" ca="1" si="299"/>
        <v>-0.34401997061980616</v>
      </c>
      <c r="F697" s="304">
        <f t="shared" ca="1" si="300"/>
        <v>0.60940619987094558</v>
      </c>
      <c r="G697" s="306">
        <f t="shared" ca="1" si="301"/>
        <v>5.3367116878898813</v>
      </c>
      <c r="H697" s="307">
        <f t="shared" ca="1" si="302"/>
        <v>-100.42939371031026</v>
      </c>
      <c r="I697" s="304">
        <f t="shared" ca="1" si="303"/>
        <v>100.57108735944027</v>
      </c>
      <c r="J697" s="306">
        <f t="shared" ca="1" si="304"/>
        <v>711.72888807733182</v>
      </c>
      <c r="K697" s="307">
        <f t="shared" ca="1" si="305"/>
        <v>-10.239711177738908</v>
      </c>
      <c r="L697" s="304">
        <f t="shared" ca="1" si="290"/>
        <v>711.80254411514898</v>
      </c>
      <c r="M697" s="306">
        <f t="shared" ca="1" si="306"/>
        <v>-1.5177073175960309</v>
      </c>
      <c r="N697" s="304">
        <f t="shared" ca="1" si="307"/>
        <v>-86.958223834373797</v>
      </c>
      <c r="P697" s="310">
        <f t="shared" ca="1" si="308"/>
        <v>23</v>
      </c>
      <c r="Q697" s="304">
        <f t="shared" ca="1" si="309"/>
        <v>0</v>
      </c>
      <c r="R697" s="306">
        <f t="shared" ca="1" si="310"/>
        <v>0</v>
      </c>
      <c r="S697" s="307">
        <f t="shared" ca="1" si="311"/>
        <v>2.6792999999999987</v>
      </c>
      <c r="T697" s="304">
        <f t="shared" ca="1" si="291"/>
        <v>26.283932999999987</v>
      </c>
      <c r="U697" s="311">
        <f t="shared" ca="1" si="292"/>
        <v>0</v>
      </c>
      <c r="V697" s="306">
        <f t="shared" ca="1" si="293"/>
        <v>1.2262550071648177</v>
      </c>
      <c r="W697" s="304">
        <f t="shared" ca="1" si="294"/>
        <v>25.398025478573963</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0.31684287916241516</v>
      </c>
      <c r="AH697" s="304">
        <f t="shared" ca="1" si="318"/>
        <v>-9.479335635627665</v>
      </c>
    </row>
    <row r="698" spans="1:34" x14ac:dyDescent="0.2">
      <c r="A698" s="347">
        <f t="shared" ca="1" si="296"/>
        <v>1E-4</v>
      </c>
      <c r="B698" s="304">
        <f t="shared" ca="1" si="297"/>
        <v>36.618000000000805</v>
      </c>
      <c r="D698" s="306">
        <f t="shared" ca="1" si="298"/>
        <v>-0.50301299597411131</v>
      </c>
      <c r="E698" s="307">
        <f t="shared" ca="1" si="299"/>
        <v>-0.34400423921700529</v>
      </c>
      <c r="F698" s="304">
        <f t="shared" ca="1" si="300"/>
        <v>0.60939395362780058</v>
      </c>
      <c r="G698" s="306">
        <f t="shared" ca="1" si="301"/>
        <v>5.3366613865902837</v>
      </c>
      <c r="H698" s="307">
        <f t="shared" ca="1" si="302"/>
        <v>-100.42942811073419</v>
      </c>
      <c r="I698" s="304">
        <f t="shared" ca="1" si="303"/>
        <v>100.57111904221932</v>
      </c>
      <c r="J698" s="306">
        <f t="shared" ca="1" si="304"/>
        <v>711.72888807733182</v>
      </c>
      <c r="K698" s="307">
        <f t="shared" ca="1" si="305"/>
        <v>-10.24975411882996</v>
      </c>
      <c r="L698" s="304">
        <f t="shared" ca="1" si="290"/>
        <v>711.80268865977996</v>
      </c>
      <c r="M698" s="306">
        <f t="shared" ca="1" si="306"/>
        <v>-1.5177078351984772</v>
      </c>
      <c r="N698" s="304">
        <f t="shared" ca="1" si="307"/>
        <v>-86.958253490809426</v>
      </c>
      <c r="P698" s="310">
        <f t="shared" ca="1" si="308"/>
        <v>23</v>
      </c>
      <c r="Q698" s="304">
        <f t="shared" ca="1" si="309"/>
        <v>0</v>
      </c>
      <c r="R698" s="306">
        <f t="shared" ca="1" si="310"/>
        <v>0</v>
      </c>
      <c r="S698" s="307">
        <f t="shared" ca="1" si="311"/>
        <v>2.6792999999999987</v>
      </c>
      <c r="T698" s="304">
        <f t="shared" ca="1" si="291"/>
        <v>26.283932999999987</v>
      </c>
      <c r="U698" s="311">
        <f t="shared" ca="1" si="292"/>
        <v>0</v>
      </c>
      <c r="V698" s="306">
        <f t="shared" ca="1" si="293"/>
        <v>1.2262562386864393</v>
      </c>
      <c r="W698" s="304">
        <f t="shared" ca="1" si="294"/>
        <v>25.398066987913403</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0.31682765574249139</v>
      </c>
      <c r="AH698" s="304">
        <f t="shared" ca="1" si="318"/>
        <v>-9.4793511284940006</v>
      </c>
    </row>
    <row r="699" spans="1:34" x14ac:dyDescent="0.2">
      <c r="A699" s="347">
        <f t="shared" ca="1" si="296"/>
        <v>1E-4</v>
      </c>
      <c r="B699" s="304">
        <f t="shared" ca="1" si="297"/>
        <v>36.618100000000808</v>
      </c>
      <c r="D699" s="306">
        <f t="shared" ca="1" si="298"/>
        <v>-0.50300891844427942</v>
      </c>
      <c r="E699" s="307">
        <f t="shared" ca="1" si="299"/>
        <v>-0.34398850807840731</v>
      </c>
      <c r="F699" s="304">
        <f t="shared" ca="1" si="300"/>
        <v>0.60938170773702438</v>
      </c>
      <c r="G699" s="306">
        <f t="shared" ca="1" si="301"/>
        <v>5.336611085698439</v>
      </c>
      <c r="H699" s="307">
        <f t="shared" ca="1" si="302"/>
        <v>-100.42946250958501</v>
      </c>
      <c r="I699" s="304">
        <f t="shared" ca="1" si="303"/>
        <v>100.57115072347607</v>
      </c>
      <c r="J699" s="306">
        <f t="shared" ca="1" si="304"/>
        <v>711.72888807733182</v>
      </c>
      <c r="K699" s="307">
        <f t="shared" ca="1" si="305"/>
        <v>-10.259797063360976</v>
      </c>
      <c r="L699" s="304">
        <f t="shared" ca="1" si="290"/>
        <v>711.80283334612852</v>
      </c>
      <c r="M699" s="306">
        <f t="shared" ca="1" si="306"/>
        <v>-1.5177083527957187</v>
      </c>
      <c r="N699" s="304">
        <f t="shared" ca="1" si="307"/>
        <v>-86.958283146946854</v>
      </c>
      <c r="P699" s="310">
        <f t="shared" ca="1" si="308"/>
        <v>23</v>
      </c>
      <c r="Q699" s="304">
        <f t="shared" ca="1" si="309"/>
        <v>0</v>
      </c>
      <c r="R699" s="306">
        <f t="shared" ca="1" si="310"/>
        <v>0</v>
      </c>
      <c r="S699" s="307">
        <f t="shared" ca="1" si="311"/>
        <v>2.6792999999999987</v>
      </c>
      <c r="T699" s="304">
        <f t="shared" ca="1" si="291"/>
        <v>26.283932999999987</v>
      </c>
      <c r="U699" s="311">
        <f t="shared" ca="1" si="292"/>
        <v>0</v>
      </c>
      <c r="V699" s="306">
        <f t="shared" ca="1" si="293"/>
        <v>1.2262574702097202</v>
      </c>
      <c r="W699" s="304">
        <f t="shared" ca="1" si="294"/>
        <v>25.398108496555498</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0.31681243257750147</v>
      </c>
      <c r="AH699" s="304">
        <f t="shared" ca="1" si="318"/>
        <v>-9.4793666211000698</v>
      </c>
    </row>
    <row r="700" spans="1:34" x14ac:dyDescent="0.2">
      <c r="A700" s="347">
        <f t="shared" ca="1" si="296"/>
        <v>1E-4</v>
      </c>
      <c r="B700" s="304">
        <f t="shared" ca="1" si="297"/>
        <v>36.618200000000812</v>
      </c>
      <c r="D700" s="306">
        <f t="shared" ca="1" si="298"/>
        <v>-0.50300484093375464</v>
      </c>
      <c r="E700" s="307">
        <f t="shared" ca="1" si="299"/>
        <v>-0.34397277720401753</v>
      </c>
      <c r="F700" s="304">
        <f t="shared" ca="1" si="300"/>
        <v>0.60936946219862087</v>
      </c>
      <c r="G700" s="306">
        <f t="shared" ca="1" si="301"/>
        <v>5.3365607852143455</v>
      </c>
      <c r="H700" s="307">
        <f t="shared" ca="1" si="302"/>
        <v>-100.42949690686272</v>
      </c>
      <c r="I700" s="304">
        <f t="shared" ca="1" si="303"/>
        <v>100.5711824032105</v>
      </c>
      <c r="J700" s="306">
        <f t="shared" ca="1" si="304"/>
        <v>711.72888807733182</v>
      </c>
      <c r="K700" s="307">
        <f t="shared" ca="1" si="305"/>
        <v>-10.269840011331798</v>
      </c>
      <c r="L700" s="304">
        <f t="shared" ca="1" si="290"/>
        <v>711.802978174195</v>
      </c>
      <c r="M700" s="306">
        <f t="shared" ca="1" si="306"/>
        <v>-1.5177088703877555</v>
      </c>
      <c r="N700" s="304">
        <f t="shared" ca="1" si="307"/>
        <v>-86.958312802786068</v>
      </c>
      <c r="P700" s="310">
        <f t="shared" ca="1" si="308"/>
        <v>23</v>
      </c>
      <c r="Q700" s="304">
        <f t="shared" ca="1" si="309"/>
        <v>0</v>
      </c>
      <c r="R700" s="306">
        <f t="shared" ca="1" si="310"/>
        <v>0</v>
      </c>
      <c r="S700" s="307">
        <f t="shared" ca="1" si="311"/>
        <v>2.6792999999999987</v>
      </c>
      <c r="T700" s="304">
        <f t="shared" ca="1" si="291"/>
        <v>26.283932999999987</v>
      </c>
      <c r="U700" s="311">
        <f t="shared" ca="1" si="292"/>
        <v>0</v>
      </c>
      <c r="V700" s="306">
        <f t="shared" ca="1" si="293"/>
        <v>1.2262587017346602</v>
      </c>
      <c r="W700" s="304">
        <f t="shared" ca="1" si="294"/>
        <v>25.398150004500263</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0.31679720966744718</v>
      </c>
      <c r="AH700" s="304">
        <f t="shared" ca="1" si="318"/>
        <v>-9.4793821134458671</v>
      </c>
    </row>
    <row r="701" spans="1:34" x14ac:dyDescent="0.2">
      <c r="A701" s="347">
        <f t="shared" ca="1" si="296"/>
        <v>1E-4</v>
      </c>
      <c r="B701" s="304">
        <f t="shared" ca="1" si="297"/>
        <v>36.618300000000815</v>
      </c>
      <c r="D701" s="306">
        <f t="shared" ca="1" si="298"/>
        <v>-0.50300076344253786</v>
      </c>
      <c r="E701" s="307">
        <f t="shared" ca="1" si="299"/>
        <v>-0.34395704659382886</v>
      </c>
      <c r="F701" s="304">
        <f t="shared" ca="1" si="300"/>
        <v>0.60935721701258727</v>
      </c>
      <c r="G701" s="306">
        <f t="shared" ca="1" si="301"/>
        <v>5.3365104851380014</v>
      </c>
      <c r="H701" s="307">
        <f t="shared" ca="1" si="302"/>
        <v>-100.42953130256738</v>
      </c>
      <c r="I701" s="304">
        <f t="shared" ca="1" si="303"/>
        <v>100.57121408142267</v>
      </c>
      <c r="J701" s="306">
        <f t="shared" ca="1" si="304"/>
        <v>711.72888807733182</v>
      </c>
      <c r="K701" s="307">
        <f t="shared" ca="1" si="305"/>
        <v>-10.279882962742269</v>
      </c>
      <c r="L701" s="304">
        <f t="shared" ca="1" si="290"/>
        <v>711.80312314397918</v>
      </c>
      <c r="M701" s="306">
        <f t="shared" ca="1" si="306"/>
        <v>-1.5177093879745875</v>
      </c>
      <c r="N701" s="304">
        <f t="shared" ca="1" si="307"/>
        <v>-86.958342458327081</v>
      </c>
      <c r="P701" s="310">
        <f t="shared" ca="1" si="308"/>
        <v>23</v>
      </c>
      <c r="Q701" s="304">
        <f t="shared" ca="1" si="309"/>
        <v>0</v>
      </c>
      <c r="R701" s="306">
        <f t="shared" ca="1" si="310"/>
        <v>0</v>
      </c>
      <c r="S701" s="307">
        <f t="shared" ca="1" si="311"/>
        <v>2.6792999999999987</v>
      </c>
      <c r="T701" s="304">
        <f t="shared" ca="1" si="291"/>
        <v>26.283932999999987</v>
      </c>
      <c r="U701" s="311">
        <f t="shared" ca="1" si="292"/>
        <v>0</v>
      </c>
      <c r="V701" s="306">
        <f t="shared" ca="1" si="293"/>
        <v>1.2262599332612594</v>
      </c>
      <c r="W701" s="304">
        <f t="shared" ca="1" si="294"/>
        <v>25.398191511747701</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0.31678198701232851</v>
      </c>
      <c r="AH701" s="304">
        <f t="shared" ca="1" si="318"/>
        <v>-9.479397605531398</v>
      </c>
    </row>
    <row r="702" spans="1:34" x14ac:dyDescent="0.2">
      <c r="A702" s="347">
        <f t="shared" ca="1" si="296"/>
        <v>1E-4</v>
      </c>
      <c r="B702" s="304">
        <f t="shared" ca="1" si="297"/>
        <v>36.618400000000818</v>
      </c>
      <c r="D702" s="306">
        <f t="shared" ca="1" si="298"/>
        <v>-0.50299668597062985</v>
      </c>
      <c r="E702" s="307">
        <f t="shared" ca="1" si="299"/>
        <v>-0.3439413162478413</v>
      </c>
      <c r="F702" s="304">
        <f t="shared" ca="1" si="300"/>
        <v>0.60934497217892425</v>
      </c>
      <c r="G702" s="306">
        <f t="shared" ca="1" si="301"/>
        <v>5.336460185469404</v>
      </c>
      <c r="H702" s="307">
        <f t="shared" ca="1" si="302"/>
        <v>-100.42956569669902</v>
      </c>
      <c r="I702" s="304">
        <f t="shared" ca="1" si="303"/>
        <v>100.5712457581126</v>
      </c>
      <c r="J702" s="306">
        <f t="shared" ca="1" si="304"/>
        <v>711.72888807733182</v>
      </c>
      <c r="K702" s="307">
        <f t="shared" ca="1" si="305"/>
        <v>-10.289925917592232</v>
      </c>
      <c r="L702" s="304">
        <f t="shared" ca="1" si="290"/>
        <v>711.80326825548127</v>
      </c>
      <c r="M702" s="306">
        <f t="shared" ca="1" si="306"/>
        <v>-1.5177099055562151</v>
      </c>
      <c r="N702" s="304">
        <f t="shared" ca="1" si="307"/>
        <v>-86.958372113569894</v>
      </c>
      <c r="P702" s="310">
        <f t="shared" ca="1" si="308"/>
        <v>23</v>
      </c>
      <c r="Q702" s="304">
        <f t="shared" ca="1" si="309"/>
        <v>0</v>
      </c>
      <c r="R702" s="306">
        <f t="shared" ca="1" si="310"/>
        <v>0</v>
      </c>
      <c r="S702" s="307">
        <f t="shared" ca="1" si="311"/>
        <v>2.6792999999999987</v>
      </c>
      <c r="T702" s="304">
        <f t="shared" ca="1" si="291"/>
        <v>26.283932999999987</v>
      </c>
      <c r="U702" s="311">
        <f t="shared" ca="1" si="292"/>
        <v>0</v>
      </c>
      <c r="V702" s="306">
        <f t="shared" ca="1" si="293"/>
        <v>1.2262611647895181</v>
      </c>
      <c r="W702" s="304">
        <f t="shared" ca="1" si="294"/>
        <v>25.398233018297844</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0.3167667646121366</v>
      </c>
      <c r="AH702" s="304">
        <f t="shared" ca="1" si="318"/>
        <v>-9.4794130973566659</v>
      </c>
    </row>
    <row r="703" spans="1:34" x14ac:dyDescent="0.2">
      <c r="A703" s="347">
        <f t="shared" ca="1" si="296"/>
        <v>1E-4</v>
      </c>
      <c r="B703" s="304">
        <f t="shared" ca="1" si="297"/>
        <v>36.618500000000822</v>
      </c>
      <c r="D703" s="306">
        <f t="shared" ca="1" si="298"/>
        <v>-0.50299260851802974</v>
      </c>
      <c r="E703" s="307">
        <f t="shared" ca="1" si="299"/>
        <v>-0.34392558616604241</v>
      </c>
      <c r="F703" s="304">
        <f t="shared" ca="1" si="300"/>
        <v>0.60933272769762481</v>
      </c>
      <c r="G703" s="306">
        <f t="shared" ca="1" si="301"/>
        <v>5.3364098862085525</v>
      </c>
      <c r="H703" s="307">
        <f t="shared" ca="1" si="302"/>
        <v>-100.42960008925763</v>
      </c>
      <c r="I703" s="304">
        <f t="shared" ca="1" si="303"/>
        <v>100.57127743328033</v>
      </c>
      <c r="J703" s="306">
        <f t="shared" ca="1" si="304"/>
        <v>711.72888807733182</v>
      </c>
      <c r="K703" s="307">
        <f t="shared" ca="1" si="305"/>
        <v>-10.299968875881529</v>
      </c>
      <c r="L703" s="304">
        <f t="shared" ca="1" si="290"/>
        <v>711.8034135087014</v>
      </c>
      <c r="M703" s="306">
        <f t="shared" ca="1" si="306"/>
        <v>-1.5177104231326379</v>
      </c>
      <c r="N703" s="304">
        <f t="shared" ca="1" si="307"/>
        <v>-86.958401768514506</v>
      </c>
      <c r="P703" s="310">
        <f t="shared" ca="1" si="308"/>
        <v>23</v>
      </c>
      <c r="Q703" s="304">
        <f t="shared" ca="1" si="309"/>
        <v>0</v>
      </c>
      <c r="R703" s="306">
        <f t="shared" ca="1" si="310"/>
        <v>0</v>
      </c>
      <c r="S703" s="307">
        <f t="shared" ca="1" si="311"/>
        <v>2.6792999999999987</v>
      </c>
      <c r="T703" s="304">
        <f t="shared" ca="1" si="291"/>
        <v>26.283932999999987</v>
      </c>
      <c r="U703" s="311">
        <f t="shared" ca="1" si="292"/>
        <v>0</v>
      </c>
      <c r="V703" s="306">
        <f t="shared" ca="1" si="293"/>
        <v>1.2262623963194357</v>
      </c>
      <c r="W703" s="304">
        <f t="shared" ca="1" si="294"/>
        <v>25.398274524150683</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0.3167515424668661</v>
      </c>
      <c r="AH703" s="304">
        <f t="shared" ca="1" si="318"/>
        <v>-9.4794285889216798</v>
      </c>
    </row>
    <row r="704" spans="1:34" x14ac:dyDescent="0.2">
      <c r="A704" s="347">
        <f t="shared" ca="1" si="296"/>
        <v>1E-4</v>
      </c>
      <c r="B704" s="304">
        <f t="shared" ca="1" si="297"/>
        <v>36.618600000000825</v>
      </c>
      <c r="D704" s="306">
        <f t="shared" ca="1" si="298"/>
        <v>-0.50298853108474018</v>
      </c>
      <c r="E704" s="307">
        <f t="shared" ca="1" si="299"/>
        <v>-0.34390985634843751</v>
      </c>
      <c r="F704" s="304">
        <f t="shared" ca="1" si="300"/>
        <v>0.60932048356869439</v>
      </c>
      <c r="G704" s="306">
        <f t="shared" ca="1" si="301"/>
        <v>5.3363595873554441</v>
      </c>
      <c r="H704" s="307">
        <f t="shared" ca="1" si="302"/>
        <v>-100.42963448024327</v>
      </c>
      <c r="I704" s="304">
        <f t="shared" ca="1" si="303"/>
        <v>100.57130910692585</v>
      </c>
      <c r="J704" s="306">
        <f t="shared" ca="1" si="304"/>
        <v>711.72888807733182</v>
      </c>
      <c r="K704" s="307">
        <f t="shared" ca="1" si="305"/>
        <v>-10.310011837610004</v>
      </c>
      <c r="L704" s="304">
        <f t="shared" ca="1" si="290"/>
        <v>711.80355890363933</v>
      </c>
      <c r="M704" s="306">
        <f t="shared" ca="1" si="306"/>
        <v>-1.5177109407038565</v>
      </c>
      <c r="N704" s="304">
        <f t="shared" ca="1" si="307"/>
        <v>-86.958431423160917</v>
      </c>
      <c r="P704" s="310">
        <f t="shared" ca="1" si="308"/>
        <v>23</v>
      </c>
      <c r="Q704" s="304">
        <f t="shared" ca="1" si="309"/>
        <v>0</v>
      </c>
      <c r="R704" s="306">
        <f t="shared" ca="1" si="310"/>
        <v>0</v>
      </c>
      <c r="S704" s="307">
        <f t="shared" ca="1" si="311"/>
        <v>2.6792999999999987</v>
      </c>
      <c r="T704" s="304">
        <f t="shared" ca="1" si="291"/>
        <v>26.283932999999987</v>
      </c>
      <c r="U704" s="311">
        <f t="shared" ca="1" si="292"/>
        <v>0</v>
      </c>
      <c r="V704" s="306">
        <f t="shared" ca="1" si="293"/>
        <v>1.2262636278510124</v>
      </c>
      <c r="W704" s="304">
        <f t="shared" ca="1" si="294"/>
        <v>25.398316029306226</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0.31673632057651702</v>
      </c>
      <c r="AH704" s="304">
        <f t="shared" ca="1" si="318"/>
        <v>-9.4794440802264379</v>
      </c>
    </row>
    <row r="705" spans="1:34" x14ac:dyDescent="0.2">
      <c r="A705" s="347">
        <f t="shared" ca="1" si="296"/>
        <v>1E-4</v>
      </c>
      <c r="B705" s="304">
        <f t="shared" ca="1" si="297"/>
        <v>36.618700000000828</v>
      </c>
      <c r="D705" s="306">
        <f t="shared" ca="1" si="298"/>
        <v>-0.50298445367075773</v>
      </c>
      <c r="E705" s="307">
        <f t="shared" ca="1" si="299"/>
        <v>-0.34389412679501952</v>
      </c>
      <c r="F705" s="304">
        <f t="shared" ca="1" si="300"/>
        <v>0.60930823979212656</v>
      </c>
      <c r="G705" s="306">
        <f t="shared" ca="1" si="301"/>
        <v>5.3363092889100772</v>
      </c>
      <c r="H705" s="307">
        <f t="shared" ca="1" si="302"/>
        <v>-100.42966886965594</v>
      </c>
      <c r="I705" s="304">
        <f t="shared" ca="1" si="303"/>
        <v>100.57134077904922</v>
      </c>
      <c r="J705" s="306">
        <f t="shared" ca="1" si="304"/>
        <v>711.72888807733182</v>
      </c>
      <c r="K705" s="307">
        <f t="shared" ca="1" si="305"/>
        <v>-10.320054802777499</v>
      </c>
      <c r="L705" s="304">
        <f t="shared" ca="1" si="290"/>
        <v>711.80370444029541</v>
      </c>
      <c r="M705" s="306">
        <f t="shared" ca="1" si="306"/>
        <v>-1.5177114582698705</v>
      </c>
      <c r="N705" s="304">
        <f t="shared" ca="1" si="307"/>
        <v>-86.958461077509142</v>
      </c>
      <c r="P705" s="310">
        <f t="shared" ca="1" si="308"/>
        <v>23</v>
      </c>
      <c r="Q705" s="304">
        <f t="shared" ca="1" si="309"/>
        <v>0</v>
      </c>
      <c r="R705" s="306">
        <f t="shared" ca="1" si="310"/>
        <v>0</v>
      </c>
      <c r="S705" s="307">
        <f t="shared" ca="1" si="311"/>
        <v>2.6792999999999987</v>
      </c>
      <c r="T705" s="304">
        <f t="shared" ca="1" si="291"/>
        <v>26.283932999999987</v>
      </c>
      <c r="U705" s="311">
        <f t="shared" ca="1" si="292"/>
        <v>0</v>
      </c>
      <c r="V705" s="306">
        <f t="shared" ca="1" si="293"/>
        <v>1.2262648593842487</v>
      </c>
      <c r="W705" s="304">
        <f t="shared" ca="1" si="294"/>
        <v>25.398357533764496</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0.31672109894108935</v>
      </c>
      <c r="AH705" s="304">
        <f t="shared" ca="1" si="318"/>
        <v>-9.4794595712709437</v>
      </c>
    </row>
    <row r="706" spans="1:34" x14ac:dyDescent="0.2">
      <c r="A706" s="347">
        <f t="shared" ca="1" si="296"/>
        <v>1E-4</v>
      </c>
      <c r="B706" s="304">
        <f t="shared" ca="1" si="297"/>
        <v>36.618800000000832</v>
      </c>
      <c r="D706" s="306">
        <f t="shared" ca="1" si="298"/>
        <v>-0.50298037627608561</v>
      </c>
      <c r="E706" s="307">
        <f t="shared" ca="1" si="299"/>
        <v>-0.34387839750578308</v>
      </c>
      <c r="F706" s="304">
        <f t="shared" ca="1" si="300"/>
        <v>0.60929599636792131</v>
      </c>
      <c r="G706" s="306">
        <f t="shared" ca="1" si="301"/>
        <v>5.3362589908724498</v>
      </c>
      <c r="H706" s="307">
        <f t="shared" ca="1" si="302"/>
        <v>-100.42970325749569</v>
      </c>
      <c r="I706" s="304">
        <f t="shared" ca="1" si="303"/>
        <v>100.57137244965044</v>
      </c>
      <c r="J706" s="306">
        <f t="shared" ca="1" si="304"/>
        <v>711.72888807733182</v>
      </c>
      <c r="K706" s="307">
        <f t="shared" ca="1" si="305"/>
        <v>-10.330097771383857</v>
      </c>
      <c r="L706" s="304">
        <f t="shared" ca="1" si="290"/>
        <v>711.80385011866963</v>
      </c>
      <c r="M706" s="306">
        <f t="shared" ca="1" si="306"/>
        <v>-1.5177119758306803</v>
      </c>
      <c r="N706" s="304">
        <f t="shared" ca="1" si="307"/>
        <v>-86.958490731559181</v>
      </c>
      <c r="P706" s="310">
        <f t="shared" ca="1" si="308"/>
        <v>23</v>
      </c>
      <c r="Q706" s="304">
        <f t="shared" ca="1" si="309"/>
        <v>0</v>
      </c>
      <c r="R706" s="306">
        <f t="shared" ca="1" si="310"/>
        <v>0</v>
      </c>
      <c r="S706" s="307">
        <f t="shared" ca="1" si="311"/>
        <v>2.6792999999999987</v>
      </c>
      <c r="T706" s="304">
        <f t="shared" ca="1" si="291"/>
        <v>26.283932999999987</v>
      </c>
      <c r="U706" s="311">
        <f t="shared" ca="1" si="292"/>
        <v>0</v>
      </c>
      <c r="V706" s="306">
        <f t="shared" ca="1" si="293"/>
        <v>1.2262660909191438</v>
      </c>
      <c r="W706" s="304">
        <f t="shared" ca="1" si="294"/>
        <v>25.398399037525493</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0.31670587756057067</v>
      </c>
      <c r="AH706" s="304">
        <f t="shared" ca="1" si="318"/>
        <v>-9.4794750620552044</v>
      </c>
    </row>
    <row r="707" spans="1:34" x14ac:dyDescent="0.2">
      <c r="A707" s="347">
        <f t="shared" ca="1" si="296"/>
        <v>1E-4</v>
      </c>
      <c r="B707" s="304">
        <f t="shared" ca="1" si="297"/>
        <v>36.618900000000835</v>
      </c>
      <c r="D707" s="306">
        <f t="shared" ca="1" si="298"/>
        <v>-0.50297629890072226</v>
      </c>
      <c r="E707" s="307">
        <f t="shared" ca="1" si="299"/>
        <v>-0.34386266848072822</v>
      </c>
      <c r="F707" s="304">
        <f t="shared" ca="1" si="300"/>
        <v>0.60928375329607787</v>
      </c>
      <c r="G707" s="306">
        <f t="shared" ca="1" si="301"/>
        <v>5.3362086932425594</v>
      </c>
      <c r="H707" s="307">
        <f t="shared" ca="1" si="302"/>
        <v>-100.42973764376254</v>
      </c>
      <c r="I707" s="304">
        <f t="shared" ca="1" si="303"/>
        <v>100.57140411872955</v>
      </c>
      <c r="J707" s="306">
        <f t="shared" ca="1" si="304"/>
        <v>711.72888807733182</v>
      </c>
      <c r="K707" s="307">
        <f t="shared" ca="1" si="305"/>
        <v>-10.34014074342892</v>
      </c>
      <c r="L707" s="304">
        <f t="shared" ca="1" si="290"/>
        <v>711.803995938762</v>
      </c>
      <c r="M707" s="306">
        <f t="shared" ca="1" si="306"/>
        <v>-1.5177124933862856</v>
      </c>
      <c r="N707" s="304">
        <f t="shared" ca="1" si="307"/>
        <v>-86.958520385311033</v>
      </c>
      <c r="P707" s="310">
        <f t="shared" ca="1" si="308"/>
        <v>23</v>
      </c>
      <c r="Q707" s="304">
        <f t="shared" ca="1" si="309"/>
        <v>0</v>
      </c>
      <c r="R707" s="306">
        <f t="shared" ca="1" si="310"/>
        <v>0</v>
      </c>
      <c r="S707" s="307">
        <f t="shared" ca="1" si="311"/>
        <v>2.6792999999999987</v>
      </c>
      <c r="T707" s="304">
        <f t="shared" ca="1" si="291"/>
        <v>26.283932999999987</v>
      </c>
      <c r="U707" s="311">
        <f t="shared" ca="1" si="292"/>
        <v>0</v>
      </c>
      <c r="V707" s="306">
        <f t="shared" ca="1" si="293"/>
        <v>1.2262673224556981</v>
      </c>
      <c r="W707" s="304">
        <f t="shared" ca="1" si="294"/>
        <v>25.398440540589217</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0.3166906564349663</v>
      </c>
      <c r="AH707" s="304">
        <f t="shared" ca="1" si="318"/>
        <v>-9.4794905525792199</v>
      </c>
    </row>
    <row r="708" spans="1:34" x14ac:dyDescent="0.2">
      <c r="A708" s="347">
        <f t="shared" ca="1" si="296"/>
        <v>1E-4</v>
      </c>
      <c r="B708" s="304">
        <f t="shared" ca="1" si="297"/>
        <v>36.619000000000838</v>
      </c>
      <c r="D708" s="306">
        <f t="shared" ca="1" si="298"/>
        <v>-0.50297222154467069</v>
      </c>
      <c r="E708" s="307">
        <f t="shared" ca="1" si="299"/>
        <v>-0.34384693971985136</v>
      </c>
      <c r="F708" s="304">
        <f t="shared" ca="1" si="300"/>
        <v>0.60927151057659701</v>
      </c>
      <c r="G708" s="306">
        <f t="shared" ca="1" si="301"/>
        <v>5.3361583960204051</v>
      </c>
      <c r="H708" s="307">
        <f t="shared" ca="1" si="302"/>
        <v>-100.42977202845651</v>
      </c>
      <c r="I708" s="304">
        <f t="shared" ca="1" si="303"/>
        <v>100.57143578628657</v>
      </c>
      <c r="J708" s="306">
        <f t="shared" ca="1" si="304"/>
        <v>711.72888807733182</v>
      </c>
      <c r="K708" s="307">
        <f t="shared" ca="1" si="305"/>
        <v>-10.350183718912531</v>
      </c>
      <c r="L708" s="304">
        <f t="shared" ref="L708:L771" ca="1" si="319">SQRT(pos_x^2+pos_z^2)</f>
        <v>711.80414190057252</v>
      </c>
      <c r="M708" s="306">
        <f t="shared" ca="1" si="306"/>
        <v>-1.5177130109366868</v>
      </c>
      <c r="N708" s="304">
        <f t="shared" ca="1" si="307"/>
        <v>-86.958550038764699</v>
      </c>
      <c r="P708" s="310">
        <f t="shared" ca="1" si="308"/>
        <v>23</v>
      </c>
      <c r="Q708" s="304">
        <f t="shared" ca="1" si="309"/>
        <v>0</v>
      </c>
      <c r="R708" s="306">
        <f t="shared" ca="1" si="310"/>
        <v>0</v>
      </c>
      <c r="S708" s="307">
        <f t="shared" ca="1" si="311"/>
        <v>2.6792999999999987</v>
      </c>
      <c r="T708" s="304">
        <f t="shared" ref="T708:T771" ca="1" si="320">m*g</f>
        <v>26.283932999999987</v>
      </c>
      <c r="U708" s="311">
        <f t="shared" ref="U708:U771" ca="1" si="321">IF(pos_xz&lt;L_rampe,Poids*COS(Beta),0)</f>
        <v>0</v>
      </c>
      <c r="V708" s="306">
        <f t="shared" ref="V708:V771" ca="1" si="322">Rho_moyen*(20000-Alt_rampe-pos_z)/(20000+Alt_rampe+pos_z)</f>
        <v>1.2262685539939118</v>
      </c>
      <c r="W708" s="304">
        <f t="shared" ref="W708:W771" ca="1" si="323">1/2*Rho*Sref*Cx*vit_xz^2</f>
        <v>25.398482042955699</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0.31667543556427269</v>
      </c>
      <c r="AH708" s="304">
        <f t="shared" ca="1" si="318"/>
        <v>-9.479506042842992</v>
      </c>
    </row>
    <row r="709" spans="1:34" x14ac:dyDescent="0.2">
      <c r="A709" s="347">
        <f t="shared" ref="A709:A772" ca="1" si="325">IF(B708+0.01&lt;=T_ini+ROUNDUP(Temps_fin_propu,0), 0.01, IF(K708&gt;0, 0.1, 0.0001))</f>
        <v>1E-4</v>
      </c>
      <c r="B709" s="304">
        <f t="shared" ref="B709:B772" ca="1" si="326">B708+pas</f>
        <v>36.619100000000842</v>
      </c>
      <c r="D709" s="306">
        <f t="shared" ref="D709:D772" ca="1" si="327">IF(AND(L708&lt;L_rampe,Poussee&lt;Poids*SIN(M708)),0,(-W708+Poussee)/m*COS(M708)-U708/m*SIN(M708))</f>
        <v>-0.50296814420792779</v>
      </c>
      <c r="E709" s="307">
        <f t="shared" ref="E709:E772" ca="1" si="328">IF(AND(L708&lt;L_rampe,Poussee&lt;Poids*SIN(M708)),0,(-W708+Poussee)/m*SIN(M708)+U708/m*COS(M708)-Poids/m)</f>
        <v>-0.34383121122314542</v>
      </c>
      <c r="F709" s="304">
        <f t="shared" ref="F709:F772" ca="1" si="329">SQRT(acc_x^2+acc_z^2)</f>
        <v>0.60925926820947263</v>
      </c>
      <c r="G709" s="306">
        <f t="shared" ref="G709:G772" ca="1" si="330">G708+acc_x*pas</f>
        <v>5.3361080992059842</v>
      </c>
      <c r="H709" s="307">
        <f t="shared" ref="H709:H772" ca="1" si="331">H708+acc_z*pas</f>
        <v>-100.42980641157763</v>
      </c>
      <c r="I709" s="304">
        <f t="shared" ref="I709:I772" ca="1" si="332">SQRT(vit_x^2+vit_z^2)</f>
        <v>100.57146745232154</v>
      </c>
      <c r="J709" s="306">
        <f t="shared" ref="J709:J772" ca="1" si="333">J708+0.5*(vit_x+G708)*pas*(K708&gt;=0)</f>
        <v>711.72888807733182</v>
      </c>
      <c r="K709" s="307">
        <f t="shared" ref="K709:K772" ca="1" si="334">K708+0.5*(vit_z+H708)*pas</f>
        <v>-10.360226697834532</v>
      </c>
      <c r="L709" s="304">
        <f t="shared" ca="1" si="319"/>
        <v>711.80428800410129</v>
      </c>
      <c r="M709" s="306">
        <f t="shared" ref="M709:M772" ca="1" si="335">IF(AND(L708&gt;L_rampe,G709&gt;0),ATAN2(G709,H709),$M$4)</f>
        <v>-1.5177135284818839</v>
      </c>
      <c r="N709" s="304">
        <f t="shared" ref="N709:N772" ca="1" si="336">DEGREES(Beta)</f>
        <v>-86.958579691920207</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2.6792999999999987</v>
      </c>
      <c r="T709" s="304">
        <f t="shared" ca="1" si="320"/>
        <v>26.283932999999987</v>
      </c>
      <c r="U709" s="311">
        <f t="shared" ca="1" si="321"/>
        <v>0</v>
      </c>
      <c r="V709" s="306">
        <f t="shared" ca="1" si="322"/>
        <v>1.2262697855337841</v>
      </c>
      <c r="W709" s="304">
        <f t="shared" ca="1" si="323"/>
        <v>25.398523544624933</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0.3166602149484774</v>
      </c>
      <c r="AH709" s="304">
        <f t="shared" ref="AH709:AH772" ca="1" si="347">IF(AND(L708&lt;L_rampe,Poussee&lt;Poids*SIN(M708)), g*SIN(M708), (-W708+Poussee)/m)</f>
        <v>-9.4795215328465314</v>
      </c>
    </row>
    <row r="710" spans="1:34" x14ac:dyDescent="0.2">
      <c r="A710" s="347">
        <f t="shared" ca="1" si="325"/>
        <v>1E-4</v>
      </c>
      <c r="B710" s="304">
        <f t="shared" ca="1" si="326"/>
        <v>36.619200000000845</v>
      </c>
      <c r="D710" s="306">
        <f t="shared" ca="1" si="327"/>
        <v>-0.50296406689049389</v>
      </c>
      <c r="E710" s="307">
        <f t="shared" ca="1" si="328"/>
        <v>-0.3438154829906086</v>
      </c>
      <c r="F710" s="304">
        <f t="shared" ca="1" si="329"/>
        <v>0.60924702619470428</v>
      </c>
      <c r="G710" s="306">
        <f t="shared" ca="1" si="330"/>
        <v>5.3360578027992949</v>
      </c>
      <c r="H710" s="307">
        <f t="shared" ca="1" si="331"/>
        <v>-100.42984079312593</v>
      </c>
      <c r="I710" s="304">
        <f t="shared" ca="1" si="332"/>
        <v>100.57149911683447</v>
      </c>
      <c r="J710" s="306">
        <f t="shared" ca="1" si="333"/>
        <v>711.72888807733182</v>
      </c>
      <c r="K710" s="307">
        <f t="shared" ca="1" si="334"/>
        <v>-10.370269680194767</v>
      </c>
      <c r="L710" s="304">
        <f t="shared" ca="1" si="319"/>
        <v>711.80443424934856</v>
      </c>
      <c r="M710" s="306">
        <f t="shared" ca="1" si="335"/>
        <v>-1.5177140460218768</v>
      </c>
      <c r="N710" s="304">
        <f t="shared" ca="1" si="336"/>
        <v>-86.958609344777528</v>
      </c>
      <c r="P710" s="310">
        <f t="shared" ca="1" si="337"/>
        <v>23</v>
      </c>
      <c r="Q710" s="304">
        <f t="shared" ca="1" si="338"/>
        <v>0</v>
      </c>
      <c r="R710" s="306">
        <f t="shared" ca="1" si="339"/>
        <v>0</v>
      </c>
      <c r="S710" s="307">
        <f t="shared" ca="1" si="340"/>
        <v>2.6792999999999987</v>
      </c>
      <c r="T710" s="304">
        <f t="shared" ca="1" si="320"/>
        <v>26.283932999999987</v>
      </c>
      <c r="U710" s="311">
        <f t="shared" ca="1" si="321"/>
        <v>0</v>
      </c>
      <c r="V710" s="306">
        <f t="shared" ca="1" si="322"/>
        <v>1.2262710170753159</v>
      </c>
      <c r="W710" s="304">
        <f t="shared" ca="1" si="323"/>
        <v>25.398565045596946</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0.31664499458758577</v>
      </c>
      <c r="AH710" s="304">
        <f t="shared" ca="1" si="347"/>
        <v>-9.4795370225898345</v>
      </c>
    </row>
    <row r="711" spans="1:34" x14ac:dyDescent="0.2">
      <c r="A711" s="347">
        <f t="shared" ca="1" si="325"/>
        <v>1E-4</v>
      </c>
      <c r="B711" s="304">
        <f t="shared" ca="1" si="326"/>
        <v>36.619300000000848</v>
      </c>
      <c r="D711" s="306">
        <f t="shared" ca="1" si="327"/>
        <v>-0.50295998959237276</v>
      </c>
      <c r="E711" s="307">
        <f t="shared" ca="1" si="328"/>
        <v>-0.34379975502223381</v>
      </c>
      <c r="F711" s="304">
        <f t="shared" ca="1" si="329"/>
        <v>0.60923478453229152</v>
      </c>
      <c r="G711" s="306">
        <f t="shared" ca="1" si="330"/>
        <v>5.3360075068003354</v>
      </c>
      <c r="H711" s="307">
        <f t="shared" ca="1" si="331"/>
        <v>-100.42987517310144</v>
      </c>
      <c r="I711" s="304">
        <f t="shared" ca="1" si="332"/>
        <v>100.57153077982539</v>
      </c>
      <c r="J711" s="306">
        <f t="shared" ca="1" si="333"/>
        <v>711.72888807733182</v>
      </c>
      <c r="K711" s="307">
        <f t="shared" ca="1" si="334"/>
        <v>-10.380312665993078</v>
      </c>
      <c r="L711" s="304">
        <f t="shared" ca="1" si="319"/>
        <v>711.80458063631409</v>
      </c>
      <c r="M711" s="306">
        <f t="shared" ca="1" si="335"/>
        <v>-1.5177145635566658</v>
      </c>
      <c r="N711" s="304">
        <f t="shared" ca="1" si="336"/>
        <v>-86.958638997336692</v>
      </c>
      <c r="P711" s="310">
        <f t="shared" ca="1" si="337"/>
        <v>23</v>
      </c>
      <c r="Q711" s="304">
        <f t="shared" ca="1" si="338"/>
        <v>0</v>
      </c>
      <c r="R711" s="306">
        <f t="shared" ca="1" si="339"/>
        <v>0</v>
      </c>
      <c r="S711" s="307">
        <f t="shared" ca="1" si="340"/>
        <v>2.6792999999999987</v>
      </c>
      <c r="T711" s="304">
        <f t="shared" ca="1" si="320"/>
        <v>26.283932999999987</v>
      </c>
      <c r="U711" s="311">
        <f t="shared" ca="1" si="321"/>
        <v>0</v>
      </c>
      <c r="V711" s="306">
        <f t="shared" ca="1" si="322"/>
        <v>1.2262722486185065</v>
      </c>
      <c r="W711" s="304">
        <f t="shared" ca="1" si="323"/>
        <v>25.398606545871729</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0.31662977448158713</v>
      </c>
      <c r="AH711" s="304">
        <f t="shared" ca="1" si="347"/>
        <v>-9.4795525120729138</v>
      </c>
    </row>
    <row r="712" spans="1:34" x14ac:dyDescent="0.2">
      <c r="A712" s="347">
        <f t="shared" ca="1" si="325"/>
        <v>1E-4</v>
      </c>
      <c r="B712" s="304">
        <f t="shared" ca="1" si="326"/>
        <v>36.619400000000851</v>
      </c>
      <c r="D712" s="306">
        <f t="shared" ca="1" si="327"/>
        <v>-0.50295591231356018</v>
      </c>
      <c r="E712" s="307">
        <f t="shared" ca="1" si="328"/>
        <v>-0.34378402731802282</v>
      </c>
      <c r="F712" s="304">
        <f t="shared" ca="1" si="329"/>
        <v>0.60922254322223224</v>
      </c>
      <c r="G712" s="306">
        <f t="shared" ca="1" si="330"/>
        <v>5.335957211209104</v>
      </c>
      <c r="H712" s="307">
        <f t="shared" ca="1" si="331"/>
        <v>-100.42990955150417</v>
      </c>
      <c r="I712" s="304">
        <f t="shared" ca="1" si="332"/>
        <v>100.57156244129433</v>
      </c>
      <c r="J712" s="306">
        <f t="shared" ca="1" si="333"/>
        <v>711.72888807733182</v>
      </c>
      <c r="K712" s="307">
        <f t="shared" ca="1" si="334"/>
        <v>-10.390355655229309</v>
      </c>
      <c r="L712" s="304">
        <f t="shared" ca="1" si="319"/>
        <v>711.8047271649981</v>
      </c>
      <c r="M712" s="306">
        <f t="shared" ca="1" si="335"/>
        <v>-1.5177150810862505</v>
      </c>
      <c r="N712" s="304">
        <f t="shared" ca="1" si="336"/>
        <v>-86.958668649597669</v>
      </c>
      <c r="P712" s="310">
        <f t="shared" ca="1" si="337"/>
        <v>23</v>
      </c>
      <c r="Q712" s="304">
        <f t="shared" ca="1" si="338"/>
        <v>0</v>
      </c>
      <c r="R712" s="306">
        <f t="shared" ca="1" si="339"/>
        <v>0</v>
      </c>
      <c r="S712" s="307">
        <f t="shared" ca="1" si="340"/>
        <v>2.6792999999999987</v>
      </c>
      <c r="T712" s="304">
        <f t="shared" ca="1" si="320"/>
        <v>26.283932999999987</v>
      </c>
      <c r="U712" s="311">
        <f t="shared" ca="1" si="321"/>
        <v>0</v>
      </c>
      <c r="V712" s="306">
        <f t="shared" ca="1" si="322"/>
        <v>1.2262734801633566</v>
      </c>
      <c r="W712" s="304">
        <f t="shared" ca="1" si="323"/>
        <v>25.398648045449313</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0.31661455463048327</v>
      </c>
      <c r="AH712" s="304">
        <f t="shared" ca="1" si="347"/>
        <v>-9.4795680012957639</v>
      </c>
    </row>
    <row r="713" spans="1:34" x14ac:dyDescent="0.2">
      <c r="A713" s="347">
        <f t="shared" ca="1" si="325"/>
        <v>1E-4</v>
      </c>
      <c r="B713" s="304">
        <f t="shared" ca="1" si="326"/>
        <v>36.619500000000855</v>
      </c>
      <c r="D713" s="306">
        <f t="shared" ca="1" si="327"/>
        <v>-0.50295183505406194</v>
      </c>
      <c r="E713" s="307">
        <f t="shared" ca="1" si="328"/>
        <v>-0.34376829987796498</v>
      </c>
      <c r="F713" s="304">
        <f t="shared" ca="1" si="329"/>
        <v>0.60921030226452577</v>
      </c>
      <c r="G713" s="306">
        <f t="shared" ca="1" si="330"/>
        <v>5.335906916025599</v>
      </c>
      <c r="H713" s="307">
        <f t="shared" ca="1" si="331"/>
        <v>-100.42994392833415</v>
      </c>
      <c r="I713" s="304">
        <f t="shared" ca="1" si="332"/>
        <v>100.57159410124129</v>
      </c>
      <c r="J713" s="306">
        <f t="shared" ca="1" si="333"/>
        <v>711.72888807733182</v>
      </c>
      <c r="K713" s="307">
        <f t="shared" ca="1" si="334"/>
        <v>-10.4003986479033</v>
      </c>
      <c r="L713" s="304">
        <f t="shared" ca="1" si="319"/>
        <v>711.80487383540049</v>
      </c>
      <c r="M713" s="306">
        <f t="shared" ca="1" si="335"/>
        <v>-1.5177155986106317</v>
      </c>
      <c r="N713" s="304">
        <f t="shared" ca="1" si="336"/>
        <v>-86.958698301560503</v>
      </c>
      <c r="P713" s="310">
        <f t="shared" ca="1" si="337"/>
        <v>23</v>
      </c>
      <c r="Q713" s="304">
        <f t="shared" ca="1" si="338"/>
        <v>0</v>
      </c>
      <c r="R713" s="306">
        <f t="shared" ca="1" si="339"/>
        <v>0</v>
      </c>
      <c r="S713" s="307">
        <f t="shared" ca="1" si="340"/>
        <v>2.6792999999999987</v>
      </c>
      <c r="T713" s="304">
        <f t="shared" ca="1" si="320"/>
        <v>26.283932999999987</v>
      </c>
      <c r="U713" s="311">
        <f t="shared" ca="1" si="321"/>
        <v>0</v>
      </c>
      <c r="V713" s="306">
        <f t="shared" ca="1" si="322"/>
        <v>1.2262747117098654</v>
      </c>
      <c r="W713" s="304">
        <f t="shared" ca="1" si="323"/>
        <v>25.398689544329663</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0.31659933503426352</v>
      </c>
      <c r="AH713" s="304">
        <f t="shared" ca="1" si="347"/>
        <v>-9.4795834902583973</v>
      </c>
    </row>
    <row r="714" spans="1:34" x14ac:dyDescent="0.2">
      <c r="A714" s="347">
        <f t="shared" ca="1" si="325"/>
        <v>1E-4</v>
      </c>
      <c r="B714" s="304">
        <f t="shared" ca="1" si="326"/>
        <v>36.619600000000858</v>
      </c>
      <c r="D714" s="306">
        <f t="shared" ca="1" si="327"/>
        <v>-0.50294775781387158</v>
      </c>
      <c r="E714" s="307">
        <f t="shared" ca="1" si="328"/>
        <v>-0.34375257270207094</v>
      </c>
      <c r="F714" s="304">
        <f t="shared" ca="1" si="329"/>
        <v>0.6091980616591729</v>
      </c>
      <c r="G714" s="306">
        <f t="shared" ca="1" si="330"/>
        <v>5.3358566212498175</v>
      </c>
      <c r="H714" s="307">
        <f t="shared" ca="1" si="331"/>
        <v>-100.42997830359143</v>
      </c>
      <c r="I714" s="304">
        <f t="shared" ca="1" si="332"/>
        <v>100.57162575966633</v>
      </c>
      <c r="J714" s="306">
        <f t="shared" ca="1" si="333"/>
        <v>711.72888807733182</v>
      </c>
      <c r="K714" s="307">
        <f t="shared" ca="1" si="334"/>
        <v>-10.410441644014897</v>
      </c>
      <c r="L714" s="304">
        <f t="shared" ca="1" si="319"/>
        <v>711.80502064752147</v>
      </c>
      <c r="M714" s="306">
        <f t="shared" ca="1" si="335"/>
        <v>-1.5177161161298087</v>
      </c>
      <c r="N714" s="304">
        <f t="shared" ca="1" si="336"/>
        <v>-86.958727953225164</v>
      </c>
      <c r="P714" s="310">
        <f t="shared" ca="1" si="337"/>
        <v>23</v>
      </c>
      <c r="Q714" s="304">
        <f t="shared" ca="1" si="338"/>
        <v>0</v>
      </c>
      <c r="R714" s="306">
        <f t="shared" ca="1" si="339"/>
        <v>0</v>
      </c>
      <c r="S714" s="307">
        <f t="shared" ca="1" si="340"/>
        <v>2.6792999999999987</v>
      </c>
      <c r="T714" s="304">
        <f t="shared" ca="1" si="320"/>
        <v>26.283932999999987</v>
      </c>
      <c r="U714" s="311">
        <f t="shared" ca="1" si="321"/>
        <v>0</v>
      </c>
      <c r="V714" s="306">
        <f t="shared" ca="1" si="322"/>
        <v>1.2262759432580332</v>
      </c>
      <c r="W714" s="304">
        <f t="shared" ca="1" si="323"/>
        <v>25.398731042512843</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0.31658411569294209</v>
      </c>
      <c r="AH714" s="304">
        <f t="shared" ca="1" si="347"/>
        <v>-9.4795989789608015</v>
      </c>
    </row>
    <row r="715" spans="1:34" x14ac:dyDescent="0.2">
      <c r="A715" s="347">
        <f t="shared" ca="1" si="325"/>
        <v>1E-4</v>
      </c>
      <c r="B715" s="304">
        <f t="shared" ca="1" si="326"/>
        <v>36.619700000000861</v>
      </c>
      <c r="D715" s="306">
        <f t="shared" ca="1" si="327"/>
        <v>-0.50294368059299521</v>
      </c>
      <c r="E715" s="307">
        <f t="shared" ca="1" si="328"/>
        <v>-0.34373684579031938</v>
      </c>
      <c r="F715" s="304">
        <f t="shared" ca="1" si="329"/>
        <v>0.60918582140616717</v>
      </c>
      <c r="G715" s="306">
        <f t="shared" ca="1" si="330"/>
        <v>5.3358063268817579</v>
      </c>
      <c r="H715" s="307">
        <f t="shared" ca="1" si="331"/>
        <v>-100.43001267727601</v>
      </c>
      <c r="I715" s="304">
        <f t="shared" ca="1" si="332"/>
        <v>100.57165741656947</v>
      </c>
      <c r="J715" s="306">
        <f t="shared" ca="1" si="333"/>
        <v>711.72888807733182</v>
      </c>
      <c r="K715" s="307">
        <f t="shared" ca="1" si="334"/>
        <v>-10.42048464356394</v>
      </c>
      <c r="L715" s="304">
        <f t="shared" ca="1" si="319"/>
        <v>711.80516760136118</v>
      </c>
      <c r="M715" s="306">
        <f t="shared" ca="1" si="335"/>
        <v>-1.5177166336437822</v>
      </c>
      <c r="N715" s="304">
        <f t="shared" ca="1" si="336"/>
        <v>-86.958757604591682</v>
      </c>
      <c r="P715" s="310">
        <f t="shared" ca="1" si="337"/>
        <v>23</v>
      </c>
      <c r="Q715" s="304">
        <f t="shared" ca="1" si="338"/>
        <v>0</v>
      </c>
      <c r="R715" s="306">
        <f t="shared" ca="1" si="339"/>
        <v>0</v>
      </c>
      <c r="S715" s="307">
        <f t="shared" ca="1" si="340"/>
        <v>2.6792999999999987</v>
      </c>
      <c r="T715" s="304">
        <f t="shared" ca="1" si="320"/>
        <v>26.283932999999987</v>
      </c>
      <c r="U715" s="311">
        <f t="shared" ca="1" si="321"/>
        <v>0</v>
      </c>
      <c r="V715" s="306">
        <f t="shared" ca="1" si="322"/>
        <v>1.2262771748078605</v>
      </c>
      <c r="W715" s="304">
        <f t="shared" ca="1" si="323"/>
        <v>25.398772539998834</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0.31656889660649234</v>
      </c>
      <c r="AH715" s="304">
        <f t="shared" ca="1" si="347"/>
        <v>-9.4796144674029996</v>
      </c>
    </row>
    <row r="716" spans="1:34" x14ac:dyDescent="0.2">
      <c r="A716" s="347">
        <f t="shared" ca="1" si="325"/>
        <v>1E-4</v>
      </c>
      <c r="B716" s="304">
        <f t="shared" ca="1" si="326"/>
        <v>36.619800000000865</v>
      </c>
      <c r="D716" s="306">
        <f t="shared" ca="1" si="327"/>
        <v>-0.50293960339142885</v>
      </c>
      <c r="E716" s="307">
        <f t="shared" ca="1" si="328"/>
        <v>-0.34372111914271741</v>
      </c>
      <c r="F716" s="304">
        <f t="shared" ca="1" si="329"/>
        <v>0.60917358150550971</v>
      </c>
      <c r="G716" s="306">
        <f t="shared" ca="1" si="330"/>
        <v>5.3357560329214184</v>
      </c>
      <c r="H716" s="307">
        <f t="shared" ca="1" si="331"/>
        <v>-100.43004704938792</v>
      </c>
      <c r="I716" s="304">
        <f t="shared" ca="1" si="332"/>
        <v>100.5716890719507</v>
      </c>
      <c r="J716" s="306">
        <f t="shared" ca="1" si="333"/>
        <v>711.72888807733182</v>
      </c>
      <c r="K716" s="307">
        <f t="shared" ca="1" si="334"/>
        <v>-10.430527646550273</v>
      </c>
      <c r="L716" s="304">
        <f t="shared" ca="1" si="319"/>
        <v>711.80531469691948</v>
      </c>
      <c r="M716" s="306">
        <f t="shared" ca="1" si="335"/>
        <v>-1.5177171511525518</v>
      </c>
      <c r="N716" s="304">
        <f t="shared" ca="1" si="336"/>
        <v>-86.958787255660042</v>
      </c>
      <c r="P716" s="310">
        <f t="shared" ca="1" si="337"/>
        <v>23</v>
      </c>
      <c r="Q716" s="304">
        <f t="shared" ca="1" si="338"/>
        <v>0</v>
      </c>
      <c r="R716" s="306">
        <f t="shared" ca="1" si="339"/>
        <v>0</v>
      </c>
      <c r="S716" s="307">
        <f t="shared" ca="1" si="340"/>
        <v>2.6792999999999987</v>
      </c>
      <c r="T716" s="304">
        <f t="shared" ca="1" si="320"/>
        <v>26.283932999999987</v>
      </c>
      <c r="U716" s="311">
        <f t="shared" ca="1" si="321"/>
        <v>0</v>
      </c>
      <c r="V716" s="306">
        <f t="shared" ca="1" si="322"/>
        <v>1.2262784063593462</v>
      </c>
      <c r="W716" s="304">
        <f t="shared" ca="1" si="323"/>
        <v>25.398814036787634</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0.31655367777492849</v>
      </c>
      <c r="AH716" s="304">
        <f t="shared" ca="1" si="347"/>
        <v>-9.4796299555849828</v>
      </c>
    </row>
    <row r="717" spans="1:34" x14ac:dyDescent="0.2">
      <c r="A717" s="347">
        <f t="shared" ca="1" si="325"/>
        <v>1E-4</v>
      </c>
      <c r="B717" s="304">
        <f t="shared" ca="1" si="326"/>
        <v>36.619900000000868</v>
      </c>
      <c r="D717" s="306">
        <f t="shared" ca="1" si="327"/>
        <v>-0.50293552620917537</v>
      </c>
      <c r="E717" s="307">
        <f t="shared" ca="1" si="328"/>
        <v>-0.34370539275926326</v>
      </c>
      <c r="F717" s="304">
        <f t="shared" ca="1" si="329"/>
        <v>0.60916134195720228</v>
      </c>
      <c r="G717" s="306">
        <f t="shared" ca="1" si="330"/>
        <v>5.3357057393687972</v>
      </c>
      <c r="H717" s="307">
        <f t="shared" ca="1" si="331"/>
        <v>-100.43008141992721</v>
      </c>
      <c r="I717" s="304">
        <f t="shared" ca="1" si="332"/>
        <v>100.5717207258101</v>
      </c>
      <c r="J717" s="306">
        <f t="shared" ca="1" si="333"/>
        <v>711.72888807733182</v>
      </c>
      <c r="K717" s="307">
        <f t="shared" ca="1" si="334"/>
        <v>-10.440570652973738</v>
      </c>
      <c r="L717" s="304">
        <f t="shared" ca="1" si="319"/>
        <v>711.8054619341965</v>
      </c>
      <c r="M717" s="306">
        <f t="shared" ca="1" si="335"/>
        <v>-1.5177176686561176</v>
      </c>
      <c r="N717" s="304">
        <f t="shared" ca="1" si="336"/>
        <v>-86.958816906430243</v>
      </c>
      <c r="P717" s="310">
        <f t="shared" ca="1" si="337"/>
        <v>23</v>
      </c>
      <c r="Q717" s="304">
        <f t="shared" ca="1" si="338"/>
        <v>0</v>
      </c>
      <c r="R717" s="306">
        <f t="shared" ca="1" si="339"/>
        <v>0</v>
      </c>
      <c r="S717" s="307">
        <f t="shared" ca="1" si="340"/>
        <v>2.6792999999999987</v>
      </c>
      <c r="T717" s="304">
        <f t="shared" ca="1" si="320"/>
        <v>26.283932999999987</v>
      </c>
      <c r="U717" s="311">
        <f t="shared" ca="1" si="321"/>
        <v>0</v>
      </c>
      <c r="V717" s="306">
        <f t="shared" ca="1" si="322"/>
        <v>1.2262796379124909</v>
      </c>
      <c r="W717" s="304">
        <f t="shared" ca="1" si="323"/>
        <v>25.398855532879281</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0.31653845919824164</v>
      </c>
      <c r="AH717" s="304">
        <f t="shared" ca="1" si="347"/>
        <v>-9.4796454435067545</v>
      </c>
    </row>
    <row r="718" spans="1:34" x14ac:dyDescent="0.2">
      <c r="A718" s="347">
        <f t="shared" ca="1" si="325"/>
        <v>1E-4</v>
      </c>
      <c r="B718" s="304">
        <f t="shared" ca="1" si="326"/>
        <v>36.620000000000871</v>
      </c>
      <c r="D718" s="306">
        <f t="shared" ca="1" si="327"/>
        <v>-0.50293144904623599</v>
      </c>
      <c r="E718" s="307">
        <f t="shared" ca="1" si="328"/>
        <v>-0.34368966663994449</v>
      </c>
      <c r="F718" s="304">
        <f t="shared" ca="1" si="329"/>
        <v>0.60914910276123924</v>
      </c>
      <c r="G718" s="306">
        <f t="shared" ca="1" si="330"/>
        <v>5.3356554462238925</v>
      </c>
      <c r="H718" s="307">
        <f t="shared" ca="1" si="331"/>
        <v>-100.43011578889387</v>
      </c>
      <c r="I718" s="304">
        <f t="shared" ca="1" si="332"/>
        <v>100.57175237814766</v>
      </c>
      <c r="J718" s="306">
        <f t="shared" ca="1" si="333"/>
        <v>711.72888807733182</v>
      </c>
      <c r="K718" s="307">
        <f t="shared" ca="1" si="334"/>
        <v>-10.450613662834179</v>
      </c>
      <c r="L718" s="304">
        <f t="shared" ca="1" si="319"/>
        <v>711.80560931319224</v>
      </c>
      <c r="M718" s="306">
        <f t="shared" ca="1" si="335"/>
        <v>-1.51771818615448</v>
      </c>
      <c r="N718" s="304">
        <f t="shared" ca="1" si="336"/>
        <v>-86.958846556902316</v>
      </c>
      <c r="P718" s="310">
        <f t="shared" ca="1" si="337"/>
        <v>23</v>
      </c>
      <c r="Q718" s="304">
        <f t="shared" ca="1" si="338"/>
        <v>0</v>
      </c>
      <c r="R718" s="306">
        <f t="shared" ca="1" si="339"/>
        <v>0</v>
      </c>
      <c r="S718" s="307">
        <f t="shared" ca="1" si="340"/>
        <v>2.6792999999999987</v>
      </c>
      <c r="T718" s="304">
        <f t="shared" ca="1" si="320"/>
        <v>26.283932999999987</v>
      </c>
      <c r="U718" s="311">
        <f t="shared" ca="1" si="321"/>
        <v>0</v>
      </c>
      <c r="V718" s="306">
        <f t="shared" ca="1" si="322"/>
        <v>1.2262808694672949</v>
      </c>
      <c r="W718" s="304">
        <f t="shared" ca="1" si="323"/>
        <v>25.39889702827378</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0.31652324087642469</v>
      </c>
      <c r="AH718" s="304">
        <f t="shared" ca="1" si="347"/>
        <v>-9.4796609311683255</v>
      </c>
    </row>
    <row r="719" spans="1:34" x14ac:dyDescent="0.2">
      <c r="A719" s="347">
        <f t="shared" ca="1" si="325"/>
        <v>1E-4</v>
      </c>
      <c r="B719" s="304">
        <f t="shared" ca="1" si="326"/>
        <v>36.620100000000875</v>
      </c>
      <c r="D719" s="306">
        <f t="shared" ca="1" si="327"/>
        <v>-0.50292737190260739</v>
      </c>
      <c r="E719" s="307">
        <f t="shared" ca="1" si="328"/>
        <v>-0.34367394078475932</v>
      </c>
      <c r="F719" s="304">
        <f t="shared" ca="1" si="329"/>
        <v>0.60913686391761734</v>
      </c>
      <c r="G719" s="306">
        <f t="shared" ca="1" si="330"/>
        <v>5.3356051534867026</v>
      </c>
      <c r="H719" s="307">
        <f t="shared" ca="1" si="331"/>
        <v>-100.43015015628795</v>
      </c>
      <c r="I719" s="304">
        <f t="shared" ca="1" si="332"/>
        <v>100.57178402896341</v>
      </c>
      <c r="J719" s="306">
        <f t="shared" ca="1" si="333"/>
        <v>711.72888807733182</v>
      </c>
      <c r="K719" s="307">
        <f t="shared" ca="1" si="334"/>
        <v>-10.460656676131439</v>
      </c>
      <c r="L719" s="304">
        <f t="shared" ca="1" si="319"/>
        <v>711.80575683390691</v>
      </c>
      <c r="M719" s="306">
        <f t="shared" ca="1" si="335"/>
        <v>-1.5177187036476387</v>
      </c>
      <c r="N719" s="304">
        <f t="shared" ca="1" si="336"/>
        <v>-86.958876207076244</v>
      </c>
      <c r="P719" s="310">
        <f t="shared" ca="1" si="337"/>
        <v>23</v>
      </c>
      <c r="Q719" s="304">
        <f t="shared" ca="1" si="338"/>
        <v>0</v>
      </c>
      <c r="R719" s="306">
        <f t="shared" ca="1" si="339"/>
        <v>0</v>
      </c>
      <c r="S719" s="307">
        <f t="shared" ca="1" si="340"/>
        <v>2.6792999999999987</v>
      </c>
      <c r="T719" s="304">
        <f t="shared" ca="1" si="320"/>
        <v>26.283932999999987</v>
      </c>
      <c r="U719" s="311">
        <f t="shared" ca="1" si="321"/>
        <v>0</v>
      </c>
      <c r="V719" s="306">
        <f t="shared" ca="1" si="322"/>
        <v>1.2262821010237579</v>
      </c>
      <c r="W719" s="304">
        <f t="shared" ca="1" si="323"/>
        <v>25.398938522971122</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0.31650802280947588</v>
      </c>
      <c r="AH719" s="304">
        <f t="shared" ca="1" si="347"/>
        <v>-9.4796764185696976</v>
      </c>
    </row>
    <row r="720" spans="1:34" x14ac:dyDescent="0.2">
      <c r="A720" s="347">
        <f t="shared" ca="1" si="325"/>
        <v>1E-4</v>
      </c>
      <c r="B720" s="304">
        <f t="shared" ca="1" si="326"/>
        <v>36.620200000000878</v>
      </c>
      <c r="D720" s="306">
        <f t="shared" ca="1" si="327"/>
        <v>-0.50292329477829212</v>
      </c>
      <c r="E720" s="307">
        <f t="shared" ca="1" si="328"/>
        <v>-0.34365821519370954</v>
      </c>
      <c r="F720" s="304">
        <f t="shared" ca="1" si="329"/>
        <v>0.60912462542633983</v>
      </c>
      <c r="G720" s="306">
        <f t="shared" ca="1" si="330"/>
        <v>5.3355548611572248</v>
      </c>
      <c r="H720" s="307">
        <f t="shared" ca="1" si="331"/>
        <v>-100.43018452210947</v>
      </c>
      <c r="I720" s="304">
        <f t="shared" ca="1" si="332"/>
        <v>100.57181567825738</v>
      </c>
      <c r="J720" s="306">
        <f t="shared" ca="1" si="333"/>
        <v>711.72888807733182</v>
      </c>
      <c r="K720" s="307">
        <f t="shared" ca="1" si="334"/>
        <v>-10.47069969286536</v>
      </c>
      <c r="L720" s="304">
        <f t="shared" ca="1" si="319"/>
        <v>711.80590449634042</v>
      </c>
      <c r="M720" s="306">
        <f t="shared" ca="1" si="335"/>
        <v>-1.5177192211355941</v>
      </c>
      <c r="N720" s="304">
        <f t="shared" ca="1" si="336"/>
        <v>-86.958905856952029</v>
      </c>
      <c r="P720" s="310">
        <f t="shared" ca="1" si="337"/>
        <v>23</v>
      </c>
      <c r="Q720" s="304">
        <f t="shared" ca="1" si="338"/>
        <v>0</v>
      </c>
      <c r="R720" s="306">
        <f t="shared" ca="1" si="339"/>
        <v>0</v>
      </c>
      <c r="S720" s="307">
        <f t="shared" ca="1" si="340"/>
        <v>2.6792999999999987</v>
      </c>
      <c r="T720" s="304">
        <f t="shared" ca="1" si="320"/>
        <v>26.283932999999987</v>
      </c>
      <c r="U720" s="311">
        <f t="shared" ca="1" si="321"/>
        <v>0</v>
      </c>
      <c r="V720" s="306">
        <f t="shared" ca="1" si="322"/>
        <v>1.2262833325818796</v>
      </c>
      <c r="W720" s="304">
        <f t="shared" ca="1" si="323"/>
        <v>25.398980016971329</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0.31649280499739163</v>
      </c>
      <c r="AH720" s="304">
        <f t="shared" ca="1" si="347"/>
        <v>-9.4796919057108706</v>
      </c>
    </row>
    <row r="721" spans="1:34" x14ac:dyDescent="0.2">
      <c r="A721" s="347">
        <f t="shared" ca="1" si="325"/>
        <v>1E-4</v>
      </c>
      <c r="B721" s="304">
        <f t="shared" ca="1" si="326"/>
        <v>36.620300000000881</v>
      </c>
      <c r="D721" s="306">
        <f t="shared" ca="1" si="327"/>
        <v>-0.50291921767328907</v>
      </c>
      <c r="E721" s="307">
        <f t="shared" ca="1" si="328"/>
        <v>-0.34364248986678803</v>
      </c>
      <c r="F721" s="304">
        <f t="shared" ca="1" si="329"/>
        <v>0.60911238728740247</v>
      </c>
      <c r="G721" s="306">
        <f t="shared" ca="1" si="330"/>
        <v>5.3355045692354572</v>
      </c>
      <c r="H721" s="307">
        <f t="shared" ca="1" si="331"/>
        <v>-100.43021888635846</v>
      </c>
      <c r="I721" s="304">
        <f t="shared" ca="1" si="332"/>
        <v>100.57184732602958</v>
      </c>
      <c r="J721" s="306">
        <f t="shared" ca="1" si="333"/>
        <v>711.72888807733182</v>
      </c>
      <c r="K721" s="307">
        <f t="shared" ca="1" si="334"/>
        <v>-10.480742713035783</v>
      </c>
      <c r="L721" s="304">
        <f t="shared" ca="1" si="319"/>
        <v>711.80605230049287</v>
      </c>
      <c r="M721" s="306">
        <f t="shared" ca="1" si="335"/>
        <v>-1.5177197386183459</v>
      </c>
      <c r="N721" s="304">
        <f t="shared" ca="1" si="336"/>
        <v>-86.958935506529684</v>
      </c>
      <c r="P721" s="310">
        <f t="shared" ca="1" si="337"/>
        <v>23</v>
      </c>
      <c r="Q721" s="304">
        <f t="shared" ca="1" si="338"/>
        <v>0</v>
      </c>
      <c r="R721" s="306">
        <f t="shared" ca="1" si="339"/>
        <v>0</v>
      </c>
      <c r="S721" s="307">
        <f t="shared" ca="1" si="340"/>
        <v>2.6792999999999987</v>
      </c>
      <c r="T721" s="304">
        <f t="shared" ca="1" si="320"/>
        <v>26.283932999999987</v>
      </c>
      <c r="U721" s="311">
        <f t="shared" ca="1" si="321"/>
        <v>0</v>
      </c>
      <c r="V721" s="306">
        <f t="shared" ca="1" si="322"/>
        <v>1.2262845641416604</v>
      </c>
      <c r="W721" s="304">
        <f t="shared" ca="1" si="323"/>
        <v>25.399021510274409</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0.31647758744017196</v>
      </c>
      <c r="AH721" s="304">
        <f t="shared" ca="1" si="347"/>
        <v>-9.47970739259185</v>
      </c>
    </row>
    <row r="722" spans="1:34" x14ac:dyDescent="0.2">
      <c r="A722" s="347">
        <f t="shared" ca="1" si="325"/>
        <v>1E-4</v>
      </c>
      <c r="B722" s="304">
        <f t="shared" ca="1" si="326"/>
        <v>36.620400000000885</v>
      </c>
      <c r="D722" s="306">
        <f t="shared" ca="1" si="327"/>
        <v>-0.50291514058760123</v>
      </c>
      <c r="E722" s="307">
        <f t="shared" ca="1" si="328"/>
        <v>-0.34362676480399479</v>
      </c>
      <c r="F722" s="304">
        <f t="shared" ca="1" si="329"/>
        <v>0.60910014950080804</v>
      </c>
      <c r="G722" s="306">
        <f t="shared" ca="1" si="330"/>
        <v>5.3354542777213982</v>
      </c>
      <c r="H722" s="307">
        <f t="shared" ca="1" si="331"/>
        <v>-100.43025324903495</v>
      </c>
      <c r="I722" s="304">
        <f t="shared" ca="1" si="332"/>
        <v>100.57187897228008</v>
      </c>
      <c r="J722" s="306">
        <f t="shared" ca="1" si="333"/>
        <v>711.72888807733182</v>
      </c>
      <c r="K722" s="307">
        <f t="shared" ca="1" si="334"/>
        <v>-10.490785736642552</v>
      </c>
      <c r="L722" s="304">
        <f t="shared" ca="1" si="319"/>
        <v>711.80620024636426</v>
      </c>
      <c r="M722" s="306">
        <f t="shared" ca="1" si="335"/>
        <v>-1.5177202560958944</v>
      </c>
      <c r="N722" s="304">
        <f t="shared" ca="1" si="336"/>
        <v>-86.95896515580921</v>
      </c>
      <c r="P722" s="310">
        <f t="shared" ca="1" si="337"/>
        <v>23</v>
      </c>
      <c r="Q722" s="304">
        <f t="shared" ca="1" si="338"/>
        <v>0</v>
      </c>
      <c r="R722" s="306">
        <f t="shared" ca="1" si="339"/>
        <v>0</v>
      </c>
      <c r="S722" s="307">
        <f t="shared" ca="1" si="340"/>
        <v>2.6792999999999987</v>
      </c>
      <c r="T722" s="304">
        <f t="shared" ca="1" si="320"/>
        <v>26.283932999999987</v>
      </c>
      <c r="U722" s="311">
        <f t="shared" ca="1" si="321"/>
        <v>0</v>
      </c>
      <c r="V722" s="306">
        <f t="shared" ca="1" si="322"/>
        <v>1.2262857957030999</v>
      </c>
      <c r="W722" s="304">
        <f t="shared" ca="1" si="323"/>
        <v>25.399063002880375</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0.31646237013781331</v>
      </c>
      <c r="AH722" s="304">
        <f t="shared" ca="1" si="347"/>
        <v>-9.4797228792126376</v>
      </c>
    </row>
    <row r="723" spans="1:34" x14ac:dyDescent="0.2">
      <c r="A723" s="347">
        <f t="shared" ca="1" si="325"/>
        <v>1E-4</v>
      </c>
      <c r="B723" s="304">
        <f t="shared" ca="1" si="326"/>
        <v>36.620500000000888</v>
      </c>
      <c r="D723" s="306">
        <f t="shared" ca="1" si="327"/>
        <v>-0.50291106352122528</v>
      </c>
      <c r="E723" s="307">
        <f t="shared" ca="1" si="328"/>
        <v>-0.34361104000531917</v>
      </c>
      <c r="F723" s="304">
        <f t="shared" ca="1" si="329"/>
        <v>0.609087912066548</v>
      </c>
      <c r="G723" s="306">
        <f t="shared" ca="1" si="330"/>
        <v>5.335403986615046</v>
      </c>
      <c r="H723" s="307">
        <f t="shared" ca="1" si="331"/>
        <v>-100.43028761013895</v>
      </c>
      <c r="I723" s="304">
        <f t="shared" ca="1" si="332"/>
        <v>100.57191061700884</v>
      </c>
      <c r="J723" s="306">
        <f t="shared" ca="1" si="333"/>
        <v>711.72888807733182</v>
      </c>
      <c r="K723" s="307">
        <f t="shared" ca="1" si="334"/>
        <v>-10.500828763685512</v>
      </c>
      <c r="L723" s="304">
        <f t="shared" ca="1" si="319"/>
        <v>711.80634833395482</v>
      </c>
      <c r="M723" s="306">
        <f t="shared" ca="1" si="335"/>
        <v>-1.5177207735682396</v>
      </c>
      <c r="N723" s="304">
        <f t="shared" ca="1" si="336"/>
        <v>-86.958994804790606</v>
      </c>
      <c r="P723" s="310">
        <f t="shared" ca="1" si="337"/>
        <v>23</v>
      </c>
      <c r="Q723" s="304">
        <f t="shared" ca="1" si="338"/>
        <v>0</v>
      </c>
      <c r="R723" s="306">
        <f t="shared" ca="1" si="339"/>
        <v>0</v>
      </c>
      <c r="S723" s="307">
        <f t="shared" ca="1" si="340"/>
        <v>2.6792999999999987</v>
      </c>
      <c r="T723" s="304">
        <f t="shared" ca="1" si="320"/>
        <v>26.283932999999987</v>
      </c>
      <c r="U723" s="311">
        <f t="shared" ca="1" si="321"/>
        <v>0</v>
      </c>
      <c r="V723" s="306">
        <f t="shared" ca="1" si="322"/>
        <v>1.2262870272661983</v>
      </c>
      <c r="W723" s="304">
        <f t="shared" ca="1" si="323"/>
        <v>25.399104494789221</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0.31644715309030502</v>
      </c>
      <c r="AH723" s="304">
        <f t="shared" ca="1" si="347"/>
        <v>-9.4797383655732421</v>
      </c>
    </row>
    <row r="724" spans="1:34" x14ac:dyDescent="0.2">
      <c r="A724" s="347">
        <f t="shared" ca="1" si="325"/>
        <v>1E-4</v>
      </c>
      <c r="B724" s="304">
        <f t="shared" ca="1" si="326"/>
        <v>36.620600000000891</v>
      </c>
      <c r="D724" s="306">
        <f t="shared" ca="1" si="327"/>
        <v>-0.50290698647416388</v>
      </c>
      <c r="E724" s="307">
        <f t="shared" ca="1" si="328"/>
        <v>-0.34359531547076649</v>
      </c>
      <c r="F724" s="304">
        <f t="shared" ca="1" si="329"/>
        <v>0.60907567498462811</v>
      </c>
      <c r="G724" s="306">
        <f t="shared" ca="1" si="330"/>
        <v>5.3353536959163987</v>
      </c>
      <c r="H724" s="307">
        <f t="shared" ca="1" si="331"/>
        <v>-100.4303219696705</v>
      </c>
      <c r="I724" s="304">
        <f t="shared" ca="1" si="332"/>
        <v>100.57194226021595</v>
      </c>
      <c r="J724" s="306">
        <f t="shared" ca="1" si="333"/>
        <v>711.72888807733182</v>
      </c>
      <c r="K724" s="307">
        <f t="shared" ca="1" si="334"/>
        <v>-10.510871794164503</v>
      </c>
      <c r="L724" s="304">
        <f t="shared" ca="1" si="319"/>
        <v>711.80649656326443</v>
      </c>
      <c r="M724" s="306">
        <f t="shared" ca="1" si="335"/>
        <v>-1.5177212910353814</v>
      </c>
      <c r="N724" s="304">
        <f t="shared" ca="1" si="336"/>
        <v>-86.959024453473859</v>
      </c>
      <c r="P724" s="310">
        <f t="shared" ca="1" si="337"/>
        <v>23</v>
      </c>
      <c r="Q724" s="304">
        <f t="shared" ca="1" si="338"/>
        <v>0</v>
      </c>
      <c r="R724" s="306">
        <f t="shared" ca="1" si="339"/>
        <v>0</v>
      </c>
      <c r="S724" s="307">
        <f t="shared" ca="1" si="340"/>
        <v>2.6792999999999987</v>
      </c>
      <c r="T724" s="304">
        <f t="shared" ca="1" si="320"/>
        <v>26.283932999999987</v>
      </c>
      <c r="U724" s="311">
        <f t="shared" ca="1" si="321"/>
        <v>0</v>
      </c>
      <c r="V724" s="306">
        <f t="shared" ca="1" si="322"/>
        <v>1.2262882588309558</v>
      </c>
      <c r="W724" s="304">
        <f t="shared" ca="1" si="323"/>
        <v>25.399145986000985</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0.31643193629765243</v>
      </c>
      <c r="AH724" s="304">
        <f t="shared" ca="1" si="347"/>
        <v>-9.4797538516736584</v>
      </c>
    </row>
    <row r="725" spans="1:34" x14ac:dyDescent="0.2">
      <c r="A725" s="347">
        <f t="shared" ca="1" si="325"/>
        <v>1E-4</v>
      </c>
      <c r="B725" s="304">
        <f t="shared" ca="1" si="326"/>
        <v>36.620700000000895</v>
      </c>
      <c r="D725" s="306">
        <f t="shared" ca="1" si="327"/>
        <v>-0.50290290944641847</v>
      </c>
      <c r="E725" s="307">
        <f t="shared" ca="1" si="328"/>
        <v>-0.34357959120032078</v>
      </c>
      <c r="F725" s="304">
        <f t="shared" ca="1" si="329"/>
        <v>0.60906343825504095</v>
      </c>
      <c r="G725" s="306">
        <f t="shared" ca="1" si="330"/>
        <v>5.3353034056254538</v>
      </c>
      <c r="H725" s="307">
        <f t="shared" ca="1" si="331"/>
        <v>-100.43035632762962</v>
      </c>
      <c r="I725" s="304">
        <f t="shared" ca="1" si="332"/>
        <v>100.57197390190139</v>
      </c>
      <c r="J725" s="306">
        <f t="shared" ca="1" si="333"/>
        <v>711.72888807733182</v>
      </c>
      <c r="K725" s="307">
        <f t="shared" ca="1" si="334"/>
        <v>-10.520914828079368</v>
      </c>
      <c r="L725" s="304">
        <f t="shared" ca="1" si="319"/>
        <v>711.8066449342931</v>
      </c>
      <c r="M725" s="306">
        <f t="shared" ca="1" si="335"/>
        <v>-1.5177218084973203</v>
      </c>
      <c r="N725" s="304">
        <f t="shared" ca="1" si="336"/>
        <v>-86.95905410185901</v>
      </c>
      <c r="P725" s="310">
        <f t="shared" ca="1" si="337"/>
        <v>23</v>
      </c>
      <c r="Q725" s="304">
        <f t="shared" ca="1" si="338"/>
        <v>0</v>
      </c>
      <c r="R725" s="306">
        <f t="shared" ca="1" si="339"/>
        <v>0</v>
      </c>
      <c r="S725" s="307">
        <f t="shared" ca="1" si="340"/>
        <v>2.6792999999999987</v>
      </c>
      <c r="T725" s="304">
        <f t="shared" ca="1" si="320"/>
        <v>26.283932999999987</v>
      </c>
      <c r="U725" s="311">
        <f t="shared" ca="1" si="321"/>
        <v>0</v>
      </c>
      <c r="V725" s="306">
        <f t="shared" ca="1" si="322"/>
        <v>1.226289490397372</v>
      </c>
      <c r="W725" s="304">
        <f t="shared" ca="1" si="323"/>
        <v>25.399187476515646</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0.31641671975984309</v>
      </c>
      <c r="AH725" s="304">
        <f t="shared" ca="1" si="347"/>
        <v>-9.4797693375139023</v>
      </c>
    </row>
    <row r="726" spans="1:34" x14ac:dyDescent="0.2">
      <c r="A726" s="347">
        <f t="shared" ca="1" si="325"/>
        <v>1E-4</v>
      </c>
      <c r="B726" s="304">
        <f t="shared" ca="1" si="326"/>
        <v>36.620800000000898</v>
      </c>
      <c r="D726" s="306">
        <f t="shared" ca="1" si="327"/>
        <v>-0.50289883243798494</v>
      </c>
      <c r="E726" s="307">
        <f t="shared" ca="1" si="328"/>
        <v>-0.3435638671939909</v>
      </c>
      <c r="F726" s="304">
        <f t="shared" ca="1" si="329"/>
        <v>0.6090512018777885</v>
      </c>
      <c r="G726" s="306">
        <f t="shared" ca="1" si="330"/>
        <v>5.3352531157422103</v>
      </c>
      <c r="H726" s="307">
        <f t="shared" ca="1" si="331"/>
        <v>-100.43039068401634</v>
      </c>
      <c r="I726" s="304">
        <f t="shared" ca="1" si="332"/>
        <v>100.5720055420652</v>
      </c>
      <c r="J726" s="306">
        <f t="shared" ca="1" si="333"/>
        <v>711.72888807733182</v>
      </c>
      <c r="K726" s="307">
        <f t="shared" ca="1" si="334"/>
        <v>-10.530957865429951</v>
      </c>
      <c r="L726" s="304">
        <f t="shared" ca="1" si="319"/>
        <v>711.80679344704106</v>
      </c>
      <c r="M726" s="306">
        <f t="shared" ca="1" si="335"/>
        <v>-1.517722325954056</v>
      </c>
      <c r="N726" s="304">
        <f t="shared" ca="1" si="336"/>
        <v>-86.959083749946046</v>
      </c>
      <c r="P726" s="310">
        <f t="shared" ca="1" si="337"/>
        <v>23</v>
      </c>
      <c r="Q726" s="304">
        <f t="shared" ca="1" si="338"/>
        <v>0</v>
      </c>
      <c r="R726" s="306">
        <f t="shared" ca="1" si="339"/>
        <v>0</v>
      </c>
      <c r="S726" s="307">
        <f t="shared" ca="1" si="340"/>
        <v>2.6792999999999987</v>
      </c>
      <c r="T726" s="304">
        <f t="shared" ca="1" si="320"/>
        <v>26.283932999999987</v>
      </c>
      <c r="U726" s="311">
        <f t="shared" ca="1" si="321"/>
        <v>0</v>
      </c>
      <c r="V726" s="306">
        <f t="shared" ca="1" si="322"/>
        <v>1.2262907219654471</v>
      </c>
      <c r="W726" s="304">
        <f t="shared" ca="1" si="323"/>
        <v>25.399228966333233</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0.31640150347688234</v>
      </c>
      <c r="AH726" s="304">
        <f t="shared" ca="1" si="347"/>
        <v>-9.479784823093965</v>
      </c>
    </row>
    <row r="727" spans="1:34" x14ac:dyDescent="0.2">
      <c r="A727" s="347">
        <f t="shared" ca="1" si="325"/>
        <v>1E-4</v>
      </c>
      <c r="B727" s="304">
        <f t="shared" ca="1" si="326"/>
        <v>36.620900000000901</v>
      </c>
      <c r="D727" s="306">
        <f t="shared" ca="1" si="327"/>
        <v>-0.50289475544886686</v>
      </c>
      <c r="E727" s="307">
        <f t="shared" ca="1" si="328"/>
        <v>-0.34354814345176798</v>
      </c>
      <c r="F727" s="304">
        <f t="shared" ca="1" si="329"/>
        <v>0.6090389658528691</v>
      </c>
      <c r="G727" s="306">
        <f t="shared" ca="1" si="330"/>
        <v>5.3352028262666655</v>
      </c>
      <c r="H727" s="307">
        <f t="shared" ca="1" si="331"/>
        <v>-100.43042503883069</v>
      </c>
      <c r="I727" s="304">
        <f t="shared" ca="1" si="332"/>
        <v>100.57203718070743</v>
      </c>
      <c r="J727" s="306">
        <f t="shared" ca="1" si="333"/>
        <v>711.72888807733182</v>
      </c>
      <c r="K727" s="307">
        <f t="shared" ca="1" si="334"/>
        <v>-10.541000906216093</v>
      </c>
      <c r="L727" s="304">
        <f t="shared" ca="1" si="319"/>
        <v>711.8069421015083</v>
      </c>
      <c r="M727" s="306">
        <f t="shared" ca="1" si="335"/>
        <v>-1.5177228434055885</v>
      </c>
      <c r="N727" s="304">
        <f t="shared" ca="1" si="336"/>
        <v>-86.959113397734967</v>
      </c>
      <c r="P727" s="310">
        <f t="shared" ca="1" si="337"/>
        <v>23</v>
      </c>
      <c r="Q727" s="304">
        <f t="shared" ca="1" si="338"/>
        <v>0</v>
      </c>
      <c r="R727" s="306">
        <f t="shared" ca="1" si="339"/>
        <v>0</v>
      </c>
      <c r="S727" s="307">
        <f t="shared" ca="1" si="340"/>
        <v>2.6792999999999987</v>
      </c>
      <c r="T727" s="304">
        <f t="shared" ca="1" si="320"/>
        <v>26.283932999999987</v>
      </c>
      <c r="U727" s="311">
        <f t="shared" ca="1" si="321"/>
        <v>0</v>
      </c>
      <c r="V727" s="306">
        <f t="shared" ca="1" si="322"/>
        <v>1.2262919535351806</v>
      </c>
      <c r="W727" s="304">
        <f t="shared" ca="1" si="323"/>
        <v>25.399270455453749</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0.31638628744876307</v>
      </c>
      <c r="AH727" s="304">
        <f t="shared" ca="1" si="347"/>
        <v>-9.4798003084138571</v>
      </c>
    </row>
    <row r="728" spans="1:34" x14ac:dyDescent="0.2">
      <c r="A728" s="347">
        <f t="shared" ca="1" si="325"/>
        <v>1E-4</v>
      </c>
      <c r="B728" s="304">
        <f t="shared" ca="1" si="326"/>
        <v>36.621000000000905</v>
      </c>
      <c r="D728" s="306">
        <f t="shared" ca="1" si="327"/>
        <v>-0.50289067847906455</v>
      </c>
      <c r="E728" s="307">
        <f t="shared" ca="1" si="328"/>
        <v>-0.34353241997364847</v>
      </c>
      <c r="F728" s="304">
        <f t="shared" ca="1" si="329"/>
        <v>0.60902673018028131</v>
      </c>
      <c r="G728" s="306">
        <f t="shared" ca="1" si="330"/>
        <v>5.3351525371988178</v>
      </c>
      <c r="H728" s="307">
        <f t="shared" ca="1" si="331"/>
        <v>-100.43045939207269</v>
      </c>
      <c r="I728" s="304">
        <f t="shared" ca="1" si="332"/>
        <v>100.57206881782805</v>
      </c>
      <c r="J728" s="306">
        <f t="shared" ca="1" si="333"/>
        <v>711.72888807733182</v>
      </c>
      <c r="K728" s="307">
        <f t="shared" ca="1" si="334"/>
        <v>-10.551043950437638</v>
      </c>
      <c r="L728" s="304">
        <f t="shared" ca="1" si="319"/>
        <v>711.80709089769482</v>
      </c>
      <c r="M728" s="306">
        <f t="shared" ca="1" si="335"/>
        <v>-1.5177233608519181</v>
      </c>
      <c r="N728" s="304">
        <f t="shared" ca="1" si="336"/>
        <v>-86.959143045225773</v>
      </c>
      <c r="P728" s="310">
        <f t="shared" ca="1" si="337"/>
        <v>23</v>
      </c>
      <c r="Q728" s="304">
        <f t="shared" ca="1" si="338"/>
        <v>0</v>
      </c>
      <c r="R728" s="306">
        <f t="shared" ca="1" si="339"/>
        <v>0</v>
      </c>
      <c r="S728" s="307">
        <f t="shared" ca="1" si="340"/>
        <v>2.6792999999999987</v>
      </c>
      <c r="T728" s="304">
        <f t="shared" ca="1" si="320"/>
        <v>26.283932999999987</v>
      </c>
      <c r="U728" s="311">
        <f t="shared" ca="1" si="321"/>
        <v>0</v>
      </c>
      <c r="V728" s="306">
        <f t="shared" ca="1" si="322"/>
        <v>1.2262931851065733</v>
      </c>
      <c r="W728" s="304">
        <f t="shared" ca="1" si="323"/>
        <v>25.399311943877205</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0.31637107167548351</v>
      </c>
      <c r="AH728" s="304">
        <f t="shared" ca="1" si="347"/>
        <v>-9.4798157934735787</v>
      </c>
    </row>
    <row r="729" spans="1:34" x14ac:dyDescent="0.2">
      <c r="A729" s="347">
        <f t="shared" ca="1" si="325"/>
        <v>1E-4</v>
      </c>
      <c r="B729" s="304">
        <f t="shared" ca="1" si="326"/>
        <v>36.621100000000908</v>
      </c>
      <c r="D729" s="306">
        <f t="shared" ca="1" si="327"/>
        <v>-0.50288660152857712</v>
      </c>
      <c r="E729" s="307">
        <f t="shared" ca="1" si="328"/>
        <v>-0.34351669675962881</v>
      </c>
      <c r="F729" s="304">
        <f t="shared" ca="1" si="329"/>
        <v>0.60901449486002279</v>
      </c>
      <c r="G729" s="306">
        <f t="shared" ca="1" si="330"/>
        <v>5.3351022485386652</v>
      </c>
      <c r="H729" s="307">
        <f t="shared" ca="1" si="331"/>
        <v>-100.43049374374237</v>
      </c>
      <c r="I729" s="304">
        <f t="shared" ca="1" si="332"/>
        <v>100.57210045342714</v>
      </c>
      <c r="J729" s="306">
        <f t="shared" ca="1" si="333"/>
        <v>711.72888807733182</v>
      </c>
      <c r="K729" s="307">
        <f t="shared" ca="1" si="334"/>
        <v>-10.561086998094428</v>
      </c>
      <c r="L729" s="304">
        <f t="shared" ca="1" si="319"/>
        <v>711.80723983560074</v>
      </c>
      <c r="M729" s="306">
        <f t="shared" ca="1" si="335"/>
        <v>-1.5177238782930449</v>
      </c>
      <c r="N729" s="304">
        <f t="shared" ca="1" si="336"/>
        <v>-86.959172692418491</v>
      </c>
      <c r="P729" s="310">
        <f t="shared" ca="1" si="337"/>
        <v>23</v>
      </c>
      <c r="Q729" s="304">
        <f t="shared" ca="1" si="338"/>
        <v>0</v>
      </c>
      <c r="R729" s="306">
        <f t="shared" ca="1" si="339"/>
        <v>0</v>
      </c>
      <c r="S729" s="307">
        <f t="shared" ca="1" si="340"/>
        <v>2.6792999999999987</v>
      </c>
      <c r="T729" s="304">
        <f t="shared" ca="1" si="320"/>
        <v>26.283932999999987</v>
      </c>
      <c r="U729" s="311">
        <f t="shared" ca="1" si="321"/>
        <v>0</v>
      </c>
      <c r="V729" s="306">
        <f t="shared" ca="1" si="322"/>
        <v>1.226294416679625</v>
      </c>
      <c r="W729" s="304">
        <f t="shared" ca="1" si="323"/>
        <v>25.399353431603618</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0.31635585615703654</v>
      </c>
      <c r="AH729" s="304">
        <f t="shared" ca="1" si="347"/>
        <v>-9.4798312782731369</v>
      </c>
    </row>
    <row r="730" spans="1:34" x14ac:dyDescent="0.2">
      <c r="A730" s="347">
        <f t="shared" ca="1" si="325"/>
        <v>1E-4</v>
      </c>
      <c r="B730" s="304">
        <f t="shared" ca="1" si="326"/>
        <v>36.621200000000911</v>
      </c>
      <c r="D730" s="306">
        <f t="shared" ca="1" si="327"/>
        <v>-0.50288252459740335</v>
      </c>
      <c r="E730" s="307">
        <f t="shared" ca="1" si="328"/>
        <v>-0.3435009738097019</v>
      </c>
      <c r="F730" s="304">
        <f t="shared" ca="1" si="329"/>
        <v>0.609002259892089</v>
      </c>
      <c r="G730" s="306">
        <f t="shared" ca="1" si="330"/>
        <v>5.3350519602862052</v>
      </c>
      <c r="H730" s="307">
        <f t="shared" ca="1" si="331"/>
        <v>-100.43052809383975</v>
      </c>
      <c r="I730" s="304">
        <f t="shared" ca="1" si="332"/>
        <v>100.57213208750468</v>
      </c>
      <c r="J730" s="306">
        <f t="shared" ca="1" si="333"/>
        <v>711.72888807733182</v>
      </c>
      <c r="K730" s="307">
        <f t="shared" ca="1" si="334"/>
        <v>-10.571130049186307</v>
      </c>
      <c r="L730" s="304">
        <f t="shared" ca="1" si="319"/>
        <v>711.80738891522606</v>
      </c>
      <c r="M730" s="306">
        <f t="shared" ca="1" si="335"/>
        <v>-1.5177243957289686</v>
      </c>
      <c r="N730" s="304">
        <f t="shared" ca="1" si="336"/>
        <v>-86.95920233931308</v>
      </c>
      <c r="P730" s="310">
        <f t="shared" ca="1" si="337"/>
        <v>23</v>
      </c>
      <c r="Q730" s="304">
        <f t="shared" ca="1" si="338"/>
        <v>0</v>
      </c>
      <c r="R730" s="306">
        <f t="shared" ca="1" si="339"/>
        <v>0</v>
      </c>
      <c r="S730" s="307">
        <f t="shared" ca="1" si="340"/>
        <v>2.6792999999999987</v>
      </c>
      <c r="T730" s="304">
        <f t="shared" ca="1" si="320"/>
        <v>26.283932999999987</v>
      </c>
      <c r="U730" s="311">
        <f t="shared" ca="1" si="321"/>
        <v>0</v>
      </c>
      <c r="V730" s="306">
        <f t="shared" ca="1" si="322"/>
        <v>1.226295648254335</v>
      </c>
      <c r="W730" s="304">
        <f t="shared" ca="1" si="323"/>
        <v>25.399394918632971</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0.31634064089341507</v>
      </c>
      <c r="AH730" s="304">
        <f t="shared" ca="1" si="347"/>
        <v>-9.4798467628125369</v>
      </c>
    </row>
    <row r="731" spans="1:34" x14ac:dyDescent="0.2">
      <c r="A731" s="347">
        <f t="shared" ca="1" si="325"/>
        <v>1E-4</v>
      </c>
      <c r="B731" s="304">
        <f t="shared" ca="1" si="326"/>
        <v>36.621300000000915</v>
      </c>
      <c r="D731" s="306">
        <f t="shared" ca="1" si="327"/>
        <v>-0.50287844768554768</v>
      </c>
      <c r="E731" s="307">
        <f t="shared" ca="1" si="328"/>
        <v>-0.34348525112387485</v>
      </c>
      <c r="F731" s="304">
        <f t="shared" ca="1" si="329"/>
        <v>0.60899002527648805</v>
      </c>
      <c r="G731" s="306">
        <f t="shared" ca="1" si="330"/>
        <v>5.3350016724414369</v>
      </c>
      <c r="H731" s="307">
        <f t="shared" ca="1" si="331"/>
        <v>-100.43056244236487</v>
      </c>
      <c r="I731" s="304">
        <f t="shared" ca="1" si="332"/>
        <v>100.57216372006074</v>
      </c>
      <c r="J731" s="306">
        <f t="shared" ca="1" si="333"/>
        <v>711.72888807733182</v>
      </c>
      <c r="K731" s="307">
        <f t="shared" ca="1" si="334"/>
        <v>-10.581173103713118</v>
      </c>
      <c r="L731" s="304">
        <f t="shared" ca="1" si="319"/>
        <v>711.80753813657088</v>
      </c>
      <c r="M731" s="306">
        <f t="shared" ca="1" si="335"/>
        <v>-1.5177249131596897</v>
      </c>
      <c r="N731" s="304">
        <f t="shared" ca="1" si="336"/>
        <v>-86.959231985909597</v>
      </c>
      <c r="P731" s="310">
        <f t="shared" ca="1" si="337"/>
        <v>23</v>
      </c>
      <c r="Q731" s="304">
        <f t="shared" ca="1" si="338"/>
        <v>0</v>
      </c>
      <c r="R731" s="306">
        <f t="shared" ca="1" si="339"/>
        <v>0</v>
      </c>
      <c r="S731" s="307">
        <f t="shared" ca="1" si="340"/>
        <v>2.6792999999999987</v>
      </c>
      <c r="T731" s="304">
        <f t="shared" ca="1" si="320"/>
        <v>26.283932999999987</v>
      </c>
      <c r="U731" s="311">
        <f t="shared" ca="1" si="321"/>
        <v>0</v>
      </c>
      <c r="V731" s="306">
        <f t="shared" ca="1" si="322"/>
        <v>1.2262968798307043</v>
      </c>
      <c r="W731" s="304">
        <f t="shared" ca="1" si="323"/>
        <v>25.399436404965318</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0.31632542588463153</v>
      </c>
      <c r="AH731" s="304">
        <f t="shared" ca="1" si="347"/>
        <v>-9.4798622470917717</v>
      </c>
    </row>
    <row r="732" spans="1:34" x14ac:dyDescent="0.2">
      <c r="A732" s="347">
        <f t="shared" ca="1" si="325"/>
        <v>1E-4</v>
      </c>
      <c r="B732" s="304">
        <f t="shared" ca="1" si="326"/>
        <v>36.621400000000918</v>
      </c>
      <c r="D732" s="306">
        <f t="shared" ca="1" si="327"/>
        <v>-0.50287437079300568</v>
      </c>
      <c r="E732" s="307">
        <f t="shared" ca="1" si="328"/>
        <v>-0.34346952870212633</v>
      </c>
      <c r="F732" s="304">
        <f t="shared" ca="1" si="329"/>
        <v>0.60897779101320448</v>
      </c>
      <c r="G732" s="306">
        <f t="shared" ca="1" si="330"/>
        <v>5.3349513850043575</v>
      </c>
      <c r="H732" s="307">
        <f t="shared" ca="1" si="331"/>
        <v>-100.43059678931775</v>
      </c>
      <c r="I732" s="304">
        <f t="shared" ca="1" si="332"/>
        <v>100.57219535109533</v>
      </c>
      <c r="J732" s="306">
        <f t="shared" ca="1" si="333"/>
        <v>711.72888807733182</v>
      </c>
      <c r="K732" s="307">
        <f t="shared" ca="1" si="334"/>
        <v>-10.591216161674701</v>
      </c>
      <c r="L732" s="304">
        <f t="shared" ca="1" si="319"/>
        <v>711.80768749963534</v>
      </c>
      <c r="M732" s="306">
        <f t="shared" ca="1" si="335"/>
        <v>-1.5177254305852079</v>
      </c>
      <c r="N732" s="304">
        <f t="shared" ca="1" si="336"/>
        <v>-86.959261632207998</v>
      </c>
      <c r="P732" s="310">
        <f t="shared" ca="1" si="337"/>
        <v>23</v>
      </c>
      <c r="Q732" s="304">
        <f t="shared" ca="1" si="338"/>
        <v>0</v>
      </c>
      <c r="R732" s="306">
        <f t="shared" ca="1" si="339"/>
        <v>0</v>
      </c>
      <c r="S732" s="307">
        <f t="shared" ca="1" si="340"/>
        <v>2.6792999999999987</v>
      </c>
      <c r="T732" s="304">
        <f t="shared" ca="1" si="320"/>
        <v>26.283932999999987</v>
      </c>
      <c r="U732" s="311">
        <f t="shared" ca="1" si="321"/>
        <v>0</v>
      </c>
      <c r="V732" s="306">
        <f t="shared" ca="1" si="322"/>
        <v>1.2262981114087321</v>
      </c>
      <c r="W732" s="304">
        <f t="shared" ca="1" si="323"/>
        <v>25.399477890600636</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0.31631021113066282</v>
      </c>
      <c r="AH732" s="304">
        <f t="shared" ca="1" si="347"/>
        <v>-9.4798777311108609</v>
      </c>
    </row>
    <row r="733" spans="1:34" x14ac:dyDescent="0.2">
      <c r="A733" s="347">
        <f t="shared" ca="1" si="325"/>
        <v>1E-4</v>
      </c>
      <c r="B733" s="304">
        <f t="shared" ca="1" si="326"/>
        <v>36.621500000000921</v>
      </c>
      <c r="D733" s="306">
        <f t="shared" ca="1" si="327"/>
        <v>-0.50287029391978155</v>
      </c>
      <c r="E733" s="307">
        <f t="shared" ca="1" si="328"/>
        <v>-0.343453806544467</v>
      </c>
      <c r="F733" s="304">
        <f t="shared" ca="1" si="329"/>
        <v>0.60896555710224831</v>
      </c>
      <c r="G733" s="306">
        <f t="shared" ca="1" si="330"/>
        <v>5.3349010979749654</v>
      </c>
      <c r="H733" s="307">
        <f t="shared" ca="1" si="331"/>
        <v>-100.4306311346984</v>
      </c>
      <c r="I733" s="304">
        <f t="shared" ca="1" si="332"/>
        <v>100.57222698060845</v>
      </c>
      <c r="J733" s="306">
        <f t="shared" ca="1" si="333"/>
        <v>711.72888807733182</v>
      </c>
      <c r="K733" s="307">
        <f t="shared" ca="1" si="334"/>
        <v>-10.601259223070903</v>
      </c>
      <c r="L733" s="304">
        <f t="shared" ca="1" si="319"/>
        <v>711.80783700441918</v>
      </c>
      <c r="M733" s="306">
        <f t="shared" ca="1" si="335"/>
        <v>-1.5177259480055234</v>
      </c>
      <c r="N733" s="304">
        <f t="shared" ca="1" si="336"/>
        <v>-86.959291278208312</v>
      </c>
      <c r="P733" s="310">
        <f t="shared" ca="1" si="337"/>
        <v>23</v>
      </c>
      <c r="Q733" s="304">
        <f t="shared" ca="1" si="338"/>
        <v>0</v>
      </c>
      <c r="R733" s="306">
        <f t="shared" ca="1" si="339"/>
        <v>0</v>
      </c>
      <c r="S733" s="307">
        <f t="shared" ca="1" si="340"/>
        <v>2.6792999999999987</v>
      </c>
      <c r="T733" s="304">
        <f t="shared" ca="1" si="320"/>
        <v>26.283932999999987</v>
      </c>
      <c r="U733" s="311">
        <f t="shared" ca="1" si="321"/>
        <v>0</v>
      </c>
      <c r="V733" s="306">
        <f t="shared" ca="1" si="322"/>
        <v>1.2262993429884186</v>
      </c>
      <c r="W733" s="304">
        <f t="shared" ca="1" si="323"/>
        <v>25.399519375538929</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0.31629499663151606</v>
      </c>
      <c r="AH733" s="304">
        <f t="shared" ca="1" si="347"/>
        <v>-9.4798932148697972</v>
      </c>
    </row>
    <row r="734" spans="1:34" x14ac:dyDescent="0.2">
      <c r="A734" s="347">
        <f t="shared" ca="1" si="325"/>
        <v>1E-4</v>
      </c>
      <c r="B734" s="304">
        <f t="shared" ca="1" si="326"/>
        <v>36.621600000000925</v>
      </c>
      <c r="D734" s="306">
        <f t="shared" ca="1" si="327"/>
        <v>-0.50286621706587409</v>
      </c>
      <c r="E734" s="307">
        <f t="shared" ca="1" si="328"/>
        <v>-0.34343808465089332</v>
      </c>
      <c r="F734" s="304">
        <f t="shared" ca="1" si="329"/>
        <v>0.60895332354361686</v>
      </c>
      <c r="G734" s="306">
        <f t="shared" ca="1" si="330"/>
        <v>5.3348508113532587</v>
      </c>
      <c r="H734" s="307">
        <f t="shared" ca="1" si="331"/>
        <v>-100.43066547850687</v>
      </c>
      <c r="I734" s="304">
        <f t="shared" ca="1" si="332"/>
        <v>100.57225860860015</v>
      </c>
      <c r="J734" s="306">
        <f t="shared" ca="1" si="333"/>
        <v>711.72888807733182</v>
      </c>
      <c r="K734" s="307">
        <f t="shared" ca="1" si="334"/>
        <v>-10.611302287901562</v>
      </c>
      <c r="L734" s="304">
        <f t="shared" ca="1" si="319"/>
        <v>711.80798665092289</v>
      </c>
      <c r="M734" s="306">
        <f t="shared" ca="1" si="335"/>
        <v>-1.5177264654206364</v>
      </c>
      <c r="N734" s="304">
        <f t="shared" ca="1" si="336"/>
        <v>-86.959320923910539</v>
      </c>
      <c r="P734" s="310">
        <f t="shared" ca="1" si="337"/>
        <v>23</v>
      </c>
      <c r="Q734" s="304">
        <f t="shared" ca="1" si="338"/>
        <v>0</v>
      </c>
      <c r="R734" s="306">
        <f t="shared" ca="1" si="339"/>
        <v>0</v>
      </c>
      <c r="S734" s="307">
        <f t="shared" ca="1" si="340"/>
        <v>2.6792999999999987</v>
      </c>
      <c r="T734" s="304">
        <f t="shared" ca="1" si="320"/>
        <v>26.283932999999987</v>
      </c>
      <c r="U734" s="311">
        <f t="shared" ca="1" si="321"/>
        <v>0</v>
      </c>
      <c r="V734" s="306">
        <f t="shared" ca="1" si="322"/>
        <v>1.2263005745697633</v>
      </c>
      <c r="W734" s="304">
        <f t="shared" ca="1" si="323"/>
        <v>25.399560859780212</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0.31627978238718946</v>
      </c>
      <c r="AH734" s="304">
        <f t="shared" ca="1" si="347"/>
        <v>-9.4799086983685825</v>
      </c>
    </row>
    <row r="735" spans="1:34" x14ac:dyDescent="0.2">
      <c r="A735" s="347">
        <f t="shared" ca="1" si="325"/>
        <v>1E-4</v>
      </c>
      <c r="B735" s="304">
        <f t="shared" ca="1" si="326"/>
        <v>36.621700000000928</v>
      </c>
      <c r="D735" s="306">
        <f t="shared" ca="1" si="327"/>
        <v>-0.50286214023128206</v>
      </c>
      <c r="E735" s="307">
        <f t="shared" ca="1" si="328"/>
        <v>-0.34342236302139995</v>
      </c>
      <c r="F735" s="304">
        <f t="shared" ca="1" si="329"/>
        <v>0.60894109033730659</v>
      </c>
      <c r="G735" s="306">
        <f t="shared" ca="1" si="330"/>
        <v>5.3348005251392356</v>
      </c>
      <c r="H735" s="307">
        <f t="shared" ca="1" si="331"/>
        <v>-100.43069982074317</v>
      </c>
      <c r="I735" s="304">
        <f t="shared" ca="1" si="332"/>
        <v>100.57229023507045</v>
      </c>
      <c r="J735" s="306">
        <f t="shared" ca="1" si="333"/>
        <v>711.72888807733182</v>
      </c>
      <c r="K735" s="307">
        <f t="shared" ca="1" si="334"/>
        <v>-10.621345356166525</v>
      </c>
      <c r="L735" s="304">
        <f t="shared" ca="1" si="319"/>
        <v>711.8081364391461</v>
      </c>
      <c r="M735" s="306">
        <f t="shared" ca="1" si="335"/>
        <v>-1.5177269828305469</v>
      </c>
      <c r="N735" s="304">
        <f t="shared" ca="1" si="336"/>
        <v>-86.959350569314694</v>
      </c>
      <c r="P735" s="310">
        <f t="shared" ca="1" si="337"/>
        <v>23</v>
      </c>
      <c r="Q735" s="304">
        <f t="shared" ca="1" si="338"/>
        <v>0</v>
      </c>
      <c r="R735" s="306">
        <f t="shared" ca="1" si="339"/>
        <v>0</v>
      </c>
      <c r="S735" s="307">
        <f t="shared" ca="1" si="340"/>
        <v>2.6792999999999987</v>
      </c>
      <c r="T735" s="304">
        <f t="shared" ca="1" si="320"/>
        <v>26.283932999999987</v>
      </c>
      <c r="U735" s="311">
        <f t="shared" ca="1" si="321"/>
        <v>0</v>
      </c>
      <c r="V735" s="306">
        <f t="shared" ca="1" si="322"/>
        <v>1.2263018061527671</v>
      </c>
      <c r="W735" s="304">
        <f t="shared" ca="1" si="323"/>
        <v>25.399602343324513</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0.31626456839768124</v>
      </c>
      <c r="AH735" s="304">
        <f t="shared" ca="1" si="347"/>
        <v>-9.4799241816072204</v>
      </c>
    </row>
    <row r="736" spans="1:34" x14ac:dyDescent="0.2">
      <c r="A736" s="347">
        <f t="shared" ca="1" si="325"/>
        <v>1E-4</v>
      </c>
      <c r="B736" s="304">
        <f t="shared" ca="1" si="326"/>
        <v>36.621800000000931</v>
      </c>
      <c r="D736" s="306">
        <f t="shared" ca="1" si="327"/>
        <v>-0.5028580634160067</v>
      </c>
      <c r="E736" s="307">
        <f t="shared" ca="1" si="328"/>
        <v>-0.34340664165597801</v>
      </c>
      <c r="F736" s="304">
        <f t="shared" ca="1" si="329"/>
        <v>0.60892885748331382</v>
      </c>
      <c r="G736" s="306">
        <f t="shared" ca="1" si="330"/>
        <v>5.3347502393328936</v>
      </c>
      <c r="H736" s="307">
        <f t="shared" ca="1" si="331"/>
        <v>-100.43073416140734</v>
      </c>
      <c r="I736" s="304">
        <f t="shared" ca="1" si="332"/>
        <v>100.57232186001939</v>
      </c>
      <c r="J736" s="306">
        <f t="shared" ca="1" si="333"/>
        <v>711.72888807733182</v>
      </c>
      <c r="K736" s="307">
        <f t="shared" ca="1" si="334"/>
        <v>-10.631388427865632</v>
      </c>
      <c r="L736" s="304">
        <f t="shared" ca="1" si="319"/>
        <v>711.80828636908916</v>
      </c>
      <c r="M736" s="306">
        <f t="shared" ca="1" si="335"/>
        <v>-1.5177275002352546</v>
      </c>
      <c r="N736" s="304">
        <f t="shared" ca="1" si="336"/>
        <v>-86.959380214420747</v>
      </c>
      <c r="P736" s="310">
        <f t="shared" ca="1" si="337"/>
        <v>23</v>
      </c>
      <c r="Q736" s="304">
        <f t="shared" ca="1" si="338"/>
        <v>0</v>
      </c>
      <c r="R736" s="306">
        <f t="shared" ca="1" si="339"/>
        <v>0</v>
      </c>
      <c r="S736" s="307">
        <f t="shared" ca="1" si="340"/>
        <v>2.6792999999999987</v>
      </c>
      <c r="T736" s="304">
        <f t="shared" ca="1" si="320"/>
        <v>26.283932999999987</v>
      </c>
      <c r="U736" s="311">
        <f t="shared" ca="1" si="321"/>
        <v>0</v>
      </c>
      <c r="V736" s="306">
        <f t="shared" ca="1" si="322"/>
        <v>1.2263030377374295</v>
      </c>
      <c r="W736" s="304">
        <f t="shared" ca="1" si="323"/>
        <v>25.399643826171829</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0.31624935466297721</v>
      </c>
      <c r="AH736" s="304">
        <f t="shared" ca="1" si="347"/>
        <v>-9.4799396645857232</v>
      </c>
    </row>
    <row r="737" spans="1:34" x14ac:dyDescent="0.2">
      <c r="A737" s="347">
        <f t="shared" ca="1" si="325"/>
        <v>1E-4</v>
      </c>
      <c r="B737" s="304">
        <f t="shared" ca="1" si="326"/>
        <v>36.621900000000934</v>
      </c>
      <c r="D737" s="306">
        <f t="shared" ca="1" si="327"/>
        <v>-0.50285398662005054</v>
      </c>
      <c r="E737" s="307">
        <f t="shared" ca="1" si="328"/>
        <v>-0.3433909205546275</v>
      </c>
      <c r="F737" s="304">
        <f t="shared" ca="1" si="329"/>
        <v>0.60891662498164101</v>
      </c>
      <c r="G737" s="306">
        <f t="shared" ca="1" si="330"/>
        <v>5.3346999539342317</v>
      </c>
      <c r="H737" s="307">
        <f t="shared" ca="1" si="331"/>
        <v>-100.4307685004994</v>
      </c>
      <c r="I737" s="304">
        <f t="shared" ca="1" si="332"/>
        <v>100.57235348344697</v>
      </c>
      <c r="J737" s="306">
        <f t="shared" ca="1" si="333"/>
        <v>711.72888807733182</v>
      </c>
      <c r="K737" s="307">
        <f t="shared" ca="1" si="334"/>
        <v>-10.641431502998728</v>
      </c>
      <c r="L737" s="304">
        <f t="shared" ca="1" si="319"/>
        <v>711.80843644075208</v>
      </c>
      <c r="M737" s="306">
        <f t="shared" ca="1" si="335"/>
        <v>-1.5177280176347601</v>
      </c>
      <c r="N737" s="304">
        <f t="shared" ca="1" si="336"/>
        <v>-86.959409859228728</v>
      </c>
      <c r="P737" s="310">
        <f t="shared" ca="1" si="337"/>
        <v>23</v>
      </c>
      <c r="Q737" s="304">
        <f t="shared" ca="1" si="338"/>
        <v>0</v>
      </c>
      <c r="R737" s="306">
        <f t="shared" ca="1" si="339"/>
        <v>0</v>
      </c>
      <c r="S737" s="307">
        <f t="shared" ca="1" si="340"/>
        <v>2.6792999999999987</v>
      </c>
      <c r="T737" s="304">
        <f t="shared" ca="1" si="320"/>
        <v>26.283932999999987</v>
      </c>
      <c r="U737" s="311">
        <f t="shared" ca="1" si="321"/>
        <v>0</v>
      </c>
      <c r="V737" s="306">
        <f t="shared" ca="1" si="322"/>
        <v>1.2263042693237509</v>
      </c>
      <c r="W737" s="304">
        <f t="shared" ca="1" si="323"/>
        <v>25.399685308322184</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0.31623414118308268</v>
      </c>
      <c r="AH737" s="304">
        <f t="shared" ca="1" si="347"/>
        <v>-9.4799551473040875</v>
      </c>
    </row>
    <row r="738" spans="1:34" x14ac:dyDescent="0.2">
      <c r="A738" s="347">
        <f t="shared" ca="1" si="325"/>
        <v>1E-4</v>
      </c>
      <c r="B738" s="304">
        <f t="shared" ca="1" si="326"/>
        <v>36.622000000000938</v>
      </c>
      <c r="D738" s="306">
        <f t="shared" ca="1" si="327"/>
        <v>-0.50284990984341082</v>
      </c>
      <c r="E738" s="307">
        <f t="shared" ca="1" si="328"/>
        <v>-0.34337519971733954</v>
      </c>
      <c r="F738" s="304">
        <f t="shared" ca="1" si="329"/>
        <v>0.60890439283228137</v>
      </c>
      <c r="G738" s="306">
        <f t="shared" ca="1" si="330"/>
        <v>5.3346496689432472</v>
      </c>
      <c r="H738" s="307">
        <f t="shared" ca="1" si="331"/>
        <v>-100.43080283801937</v>
      </c>
      <c r="I738" s="304">
        <f t="shared" ca="1" si="332"/>
        <v>100.57238510535323</v>
      </c>
      <c r="J738" s="306">
        <f t="shared" ca="1" si="333"/>
        <v>711.72888807733182</v>
      </c>
      <c r="K738" s="307">
        <f t="shared" ca="1" si="334"/>
        <v>-10.651474581565655</v>
      </c>
      <c r="L738" s="304">
        <f t="shared" ca="1" si="319"/>
        <v>711.80858665413473</v>
      </c>
      <c r="M738" s="306">
        <f t="shared" ca="1" si="335"/>
        <v>-1.5177285350290632</v>
      </c>
      <c r="N738" s="304">
        <f t="shared" ca="1" si="336"/>
        <v>-86.959439503738651</v>
      </c>
      <c r="P738" s="310">
        <f t="shared" ca="1" si="337"/>
        <v>23</v>
      </c>
      <c r="Q738" s="304">
        <f t="shared" ca="1" si="338"/>
        <v>0</v>
      </c>
      <c r="R738" s="306">
        <f t="shared" ca="1" si="339"/>
        <v>0</v>
      </c>
      <c r="S738" s="307">
        <f t="shared" ca="1" si="340"/>
        <v>2.6792999999999987</v>
      </c>
      <c r="T738" s="304">
        <f t="shared" ca="1" si="320"/>
        <v>26.283932999999987</v>
      </c>
      <c r="U738" s="311">
        <f t="shared" ca="1" si="321"/>
        <v>0</v>
      </c>
      <c r="V738" s="306">
        <f t="shared" ca="1" si="322"/>
        <v>1.2263055009117307</v>
      </c>
      <c r="W738" s="304">
        <f t="shared" ca="1" si="323"/>
        <v>25.399726789775563</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0.31621892795798523</v>
      </c>
      <c r="AH738" s="304">
        <f t="shared" ca="1" si="347"/>
        <v>-9.4799706297623239</v>
      </c>
    </row>
    <row r="739" spans="1:34" x14ac:dyDescent="0.2">
      <c r="A739" s="347">
        <f t="shared" ca="1" si="325"/>
        <v>1E-4</v>
      </c>
      <c r="B739" s="304">
        <f t="shared" ca="1" si="326"/>
        <v>36.622100000000941</v>
      </c>
      <c r="D739" s="306">
        <f t="shared" ca="1" si="327"/>
        <v>-0.50284583308608766</v>
      </c>
      <c r="E739" s="307">
        <f t="shared" ca="1" si="328"/>
        <v>-0.34335947914411769</v>
      </c>
      <c r="F739" s="304">
        <f t="shared" ca="1" si="329"/>
        <v>0.60889216103523724</v>
      </c>
      <c r="G739" s="306">
        <f t="shared" ca="1" si="330"/>
        <v>5.3345993843599384</v>
      </c>
      <c r="H739" s="307">
        <f t="shared" ca="1" si="331"/>
        <v>-100.43083717396729</v>
      </c>
      <c r="I739" s="304">
        <f t="shared" ca="1" si="332"/>
        <v>100.57241672573819</v>
      </c>
      <c r="J739" s="306">
        <f t="shared" ca="1" si="333"/>
        <v>711.72888807733182</v>
      </c>
      <c r="K739" s="307">
        <f t="shared" ca="1" si="334"/>
        <v>-10.661517663566254</v>
      </c>
      <c r="L739" s="304">
        <f t="shared" ca="1" si="319"/>
        <v>711.80873700923735</v>
      </c>
      <c r="M739" s="306">
        <f t="shared" ca="1" si="335"/>
        <v>-1.5177290524181639</v>
      </c>
      <c r="N739" s="304">
        <f t="shared" ca="1" si="336"/>
        <v>-86.959469147950486</v>
      </c>
      <c r="P739" s="310">
        <f t="shared" ca="1" si="337"/>
        <v>23</v>
      </c>
      <c r="Q739" s="304">
        <f t="shared" ca="1" si="338"/>
        <v>0</v>
      </c>
      <c r="R739" s="306">
        <f t="shared" ca="1" si="339"/>
        <v>0</v>
      </c>
      <c r="S739" s="307">
        <f t="shared" ca="1" si="340"/>
        <v>2.6792999999999987</v>
      </c>
      <c r="T739" s="304">
        <f t="shared" ca="1" si="320"/>
        <v>26.283932999999987</v>
      </c>
      <c r="U739" s="311">
        <f t="shared" ca="1" si="321"/>
        <v>0</v>
      </c>
      <c r="V739" s="306">
        <f t="shared" ca="1" si="322"/>
        <v>1.2263067325013692</v>
      </c>
      <c r="W739" s="304">
        <f t="shared" ca="1" si="323"/>
        <v>25.399768270531986</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0.31620371498769195</v>
      </c>
      <c r="AH739" s="304">
        <f t="shared" ca="1" si="347"/>
        <v>-9.4799861119604287</v>
      </c>
    </row>
    <row r="740" spans="1:34" x14ac:dyDescent="0.2">
      <c r="A740" s="347">
        <f t="shared" ca="1" si="325"/>
        <v>1E-4</v>
      </c>
      <c r="B740" s="304">
        <f t="shared" ca="1" si="326"/>
        <v>36.622200000000944</v>
      </c>
      <c r="D740" s="306">
        <f t="shared" ca="1" si="327"/>
        <v>-0.50284175634808426</v>
      </c>
      <c r="E740" s="307">
        <f t="shared" ca="1" si="328"/>
        <v>-0.3433437588349566</v>
      </c>
      <c r="F740" s="304">
        <f t="shared" ca="1" si="329"/>
        <v>0.60887992959050885</v>
      </c>
      <c r="G740" s="306">
        <f t="shared" ca="1" si="330"/>
        <v>5.3345491001843035</v>
      </c>
      <c r="H740" s="307">
        <f t="shared" ca="1" si="331"/>
        <v>-100.43087150834317</v>
      </c>
      <c r="I740" s="304">
        <f t="shared" ca="1" si="332"/>
        <v>100.57244834460188</v>
      </c>
      <c r="J740" s="306">
        <f t="shared" ca="1" si="333"/>
        <v>711.72888807733182</v>
      </c>
      <c r="K740" s="307">
        <f t="shared" ca="1" si="334"/>
        <v>-10.671560749000371</v>
      </c>
      <c r="L740" s="304">
        <f t="shared" ca="1" si="319"/>
        <v>711.80888750605993</v>
      </c>
      <c r="M740" s="306">
        <f t="shared" ca="1" si="335"/>
        <v>-1.5177295698020623</v>
      </c>
      <c r="N740" s="304">
        <f t="shared" ca="1" si="336"/>
        <v>-86.959498791864249</v>
      </c>
      <c r="P740" s="310">
        <f t="shared" ca="1" si="337"/>
        <v>23</v>
      </c>
      <c r="Q740" s="304">
        <f t="shared" ca="1" si="338"/>
        <v>0</v>
      </c>
      <c r="R740" s="306">
        <f t="shared" ca="1" si="339"/>
        <v>0</v>
      </c>
      <c r="S740" s="307">
        <f t="shared" ca="1" si="340"/>
        <v>2.6792999999999987</v>
      </c>
      <c r="T740" s="304">
        <f t="shared" ca="1" si="320"/>
        <v>26.283932999999987</v>
      </c>
      <c r="U740" s="311">
        <f t="shared" ca="1" si="321"/>
        <v>0</v>
      </c>
      <c r="V740" s="306">
        <f t="shared" ca="1" si="322"/>
        <v>1.2263079640926662</v>
      </c>
      <c r="W740" s="304">
        <f t="shared" ca="1" si="323"/>
        <v>25.399809750591459</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0.31618850227219575</v>
      </c>
      <c r="AH740" s="304">
        <f t="shared" ca="1" si="347"/>
        <v>-9.4800015938984057</v>
      </c>
    </row>
    <row r="741" spans="1:34" x14ac:dyDescent="0.2">
      <c r="A741" s="347">
        <f t="shared" ca="1" si="325"/>
        <v>1E-4</v>
      </c>
      <c r="B741" s="304">
        <f t="shared" ca="1" si="326"/>
        <v>36.622300000000948</v>
      </c>
      <c r="D741" s="306">
        <f t="shared" ca="1" si="327"/>
        <v>-0.50283767962939918</v>
      </c>
      <c r="E741" s="307">
        <f t="shared" ca="1" si="328"/>
        <v>-0.34332803878985452</v>
      </c>
      <c r="F741" s="304">
        <f t="shared" ca="1" si="329"/>
        <v>0.60886769849809419</v>
      </c>
      <c r="G741" s="306">
        <f t="shared" ca="1" si="330"/>
        <v>5.3344988164163407</v>
      </c>
      <c r="H741" s="307">
        <f t="shared" ca="1" si="331"/>
        <v>-100.43090584114705</v>
      </c>
      <c r="I741" s="304">
        <f t="shared" ca="1" si="332"/>
        <v>100.57247996194432</v>
      </c>
      <c r="J741" s="306">
        <f t="shared" ca="1" si="333"/>
        <v>711.72888807733182</v>
      </c>
      <c r="K741" s="307">
        <f t="shared" ca="1" si="334"/>
        <v>-10.681603837867845</v>
      </c>
      <c r="L741" s="304">
        <f t="shared" ca="1" si="319"/>
        <v>711.8090381446026</v>
      </c>
      <c r="M741" s="306">
        <f t="shared" ca="1" si="335"/>
        <v>-1.5177300871807586</v>
      </c>
      <c r="N741" s="304">
        <f t="shared" ca="1" si="336"/>
        <v>-86.959528435479953</v>
      </c>
      <c r="P741" s="310">
        <f t="shared" ca="1" si="337"/>
        <v>23</v>
      </c>
      <c r="Q741" s="304">
        <f t="shared" ca="1" si="338"/>
        <v>0</v>
      </c>
      <c r="R741" s="306">
        <f t="shared" ca="1" si="339"/>
        <v>0</v>
      </c>
      <c r="S741" s="307">
        <f t="shared" ca="1" si="340"/>
        <v>2.6792999999999987</v>
      </c>
      <c r="T741" s="304">
        <f t="shared" ca="1" si="320"/>
        <v>26.283932999999987</v>
      </c>
      <c r="U741" s="311">
        <f t="shared" ca="1" si="321"/>
        <v>0</v>
      </c>
      <c r="V741" s="306">
        <f t="shared" ca="1" si="322"/>
        <v>1.2263091956856218</v>
      </c>
      <c r="W741" s="304">
        <f t="shared" ca="1" si="323"/>
        <v>25.399851229954006</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0.31617328981149484</v>
      </c>
      <c r="AH741" s="304">
        <f t="shared" ca="1" si="347"/>
        <v>-9.4800170755762583</v>
      </c>
    </row>
    <row r="742" spans="1:34" x14ac:dyDescent="0.2">
      <c r="A742" s="347">
        <f t="shared" ca="1" si="325"/>
        <v>1E-4</v>
      </c>
      <c r="B742" s="304">
        <f t="shared" ca="1" si="326"/>
        <v>36.622400000000951</v>
      </c>
      <c r="D742" s="306">
        <f t="shared" ca="1" si="327"/>
        <v>-0.50283360293003165</v>
      </c>
      <c r="E742" s="307">
        <f t="shared" ca="1" si="328"/>
        <v>-0.34331231900880077</v>
      </c>
      <c r="F742" s="304">
        <f t="shared" ca="1" si="329"/>
        <v>0.60885546775798716</v>
      </c>
      <c r="G742" s="306">
        <f t="shared" ca="1" si="330"/>
        <v>5.3344485330560474</v>
      </c>
      <c r="H742" s="307">
        <f t="shared" ca="1" si="331"/>
        <v>-100.43094017237895</v>
      </c>
      <c r="I742" s="304">
        <f t="shared" ca="1" si="332"/>
        <v>100.57251157776554</v>
      </c>
      <c r="J742" s="306">
        <f t="shared" ca="1" si="333"/>
        <v>711.72888807733182</v>
      </c>
      <c r="K742" s="307">
        <f t="shared" ca="1" si="334"/>
        <v>-10.691646930168522</v>
      </c>
      <c r="L742" s="304">
        <f t="shared" ca="1" si="319"/>
        <v>711.80918892486523</v>
      </c>
      <c r="M742" s="306">
        <f t="shared" ca="1" si="335"/>
        <v>-1.5177306045542529</v>
      </c>
      <c r="N742" s="304">
        <f t="shared" ca="1" si="336"/>
        <v>-86.959558078797613</v>
      </c>
      <c r="P742" s="310">
        <f t="shared" ca="1" si="337"/>
        <v>23</v>
      </c>
      <c r="Q742" s="304">
        <f t="shared" ca="1" si="338"/>
        <v>0</v>
      </c>
      <c r="R742" s="306">
        <f t="shared" ca="1" si="339"/>
        <v>0</v>
      </c>
      <c r="S742" s="307">
        <f t="shared" ca="1" si="340"/>
        <v>2.6792999999999987</v>
      </c>
      <c r="T742" s="304">
        <f t="shared" ca="1" si="320"/>
        <v>26.283932999999987</v>
      </c>
      <c r="U742" s="311">
        <f t="shared" ca="1" si="321"/>
        <v>0</v>
      </c>
      <c r="V742" s="306">
        <f t="shared" ca="1" si="322"/>
        <v>1.2263104272802361</v>
      </c>
      <c r="W742" s="304">
        <f t="shared" ca="1" si="323"/>
        <v>25.399892708619618</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0.31615807760557857</v>
      </c>
      <c r="AH742" s="304">
        <f t="shared" ca="1" si="347"/>
        <v>-9.4800325569939972</v>
      </c>
    </row>
    <row r="743" spans="1:34" x14ac:dyDescent="0.2">
      <c r="A743" s="347">
        <f t="shared" ca="1" si="325"/>
        <v>1E-4</v>
      </c>
      <c r="B743" s="304">
        <f t="shared" ca="1" si="326"/>
        <v>36.622500000000954</v>
      </c>
      <c r="D743" s="306">
        <f t="shared" ca="1" si="327"/>
        <v>-0.50282952624998212</v>
      </c>
      <c r="E743" s="307">
        <f t="shared" ca="1" si="328"/>
        <v>-0.34329659949179714</v>
      </c>
      <c r="F743" s="304">
        <f t="shared" ca="1" si="329"/>
        <v>0.60884323737018942</v>
      </c>
      <c r="G743" s="306">
        <f t="shared" ca="1" si="330"/>
        <v>5.3343982501034226</v>
      </c>
      <c r="H743" s="307">
        <f t="shared" ca="1" si="331"/>
        <v>-100.43097450203891</v>
      </c>
      <c r="I743" s="304">
        <f t="shared" ca="1" si="332"/>
        <v>100.57254319206558</v>
      </c>
      <c r="J743" s="306">
        <f t="shared" ca="1" si="333"/>
        <v>711.72888807733182</v>
      </c>
      <c r="K743" s="307">
        <f t="shared" ca="1" si="334"/>
        <v>-10.701690025902243</v>
      </c>
      <c r="L743" s="304">
        <f t="shared" ca="1" si="319"/>
        <v>711.80933984684805</v>
      </c>
      <c r="M743" s="306">
        <f t="shared" ca="1" si="335"/>
        <v>-1.5177311219225449</v>
      </c>
      <c r="N743" s="304">
        <f t="shared" ca="1" si="336"/>
        <v>-86.959587721817201</v>
      </c>
      <c r="P743" s="310">
        <f t="shared" ca="1" si="337"/>
        <v>23</v>
      </c>
      <c r="Q743" s="304">
        <f t="shared" ca="1" si="338"/>
        <v>0</v>
      </c>
      <c r="R743" s="306">
        <f t="shared" ca="1" si="339"/>
        <v>0</v>
      </c>
      <c r="S743" s="307">
        <f t="shared" ca="1" si="340"/>
        <v>2.6792999999999987</v>
      </c>
      <c r="T743" s="304">
        <f t="shared" ca="1" si="320"/>
        <v>26.283932999999987</v>
      </c>
      <c r="U743" s="311">
        <f t="shared" ca="1" si="321"/>
        <v>0</v>
      </c>
      <c r="V743" s="306">
        <f t="shared" ca="1" si="322"/>
        <v>1.2263116588765086</v>
      </c>
      <c r="W743" s="304">
        <f t="shared" ca="1" si="323"/>
        <v>25.399934186588318</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0.31614286565445049</v>
      </c>
      <c r="AH743" s="304">
        <f t="shared" ca="1" si="347"/>
        <v>-9.4800480381516188</v>
      </c>
    </row>
    <row r="744" spans="1:34" x14ac:dyDescent="0.2">
      <c r="A744" s="347">
        <f t="shared" ca="1" si="325"/>
        <v>1E-4</v>
      </c>
      <c r="B744" s="304">
        <f t="shared" ca="1" si="326"/>
        <v>36.622600000000958</v>
      </c>
      <c r="D744" s="306">
        <f t="shared" ca="1" si="327"/>
        <v>-0.50282544958925357</v>
      </c>
      <c r="E744" s="307">
        <f t="shared" ca="1" si="328"/>
        <v>-0.34328088023884007</v>
      </c>
      <c r="F744" s="304">
        <f t="shared" ca="1" si="329"/>
        <v>0.60883100733470197</v>
      </c>
      <c r="G744" s="306">
        <f t="shared" ca="1" si="330"/>
        <v>5.3343479675584637</v>
      </c>
      <c r="H744" s="307">
        <f t="shared" ca="1" si="331"/>
        <v>-100.43100883012693</v>
      </c>
      <c r="I744" s="304">
        <f t="shared" ca="1" si="332"/>
        <v>100.57257480484442</v>
      </c>
      <c r="J744" s="306">
        <f t="shared" ca="1" si="333"/>
        <v>711.72888807733182</v>
      </c>
      <c r="K744" s="307">
        <f t="shared" ca="1" si="334"/>
        <v>-10.711733125068852</v>
      </c>
      <c r="L744" s="304">
        <f t="shared" ca="1" si="319"/>
        <v>711.80949091055106</v>
      </c>
      <c r="M744" s="306">
        <f t="shared" ca="1" si="335"/>
        <v>-1.517731639285635</v>
      </c>
      <c r="N744" s="304">
        <f t="shared" ca="1" si="336"/>
        <v>-86.959617364538744</v>
      </c>
      <c r="P744" s="310">
        <f t="shared" ca="1" si="337"/>
        <v>23</v>
      </c>
      <c r="Q744" s="304">
        <f t="shared" ca="1" si="338"/>
        <v>0</v>
      </c>
      <c r="R744" s="306">
        <f t="shared" ca="1" si="339"/>
        <v>0</v>
      </c>
      <c r="S744" s="307">
        <f t="shared" ca="1" si="340"/>
        <v>2.6792999999999987</v>
      </c>
      <c r="T744" s="304">
        <f t="shared" ca="1" si="320"/>
        <v>26.283932999999987</v>
      </c>
      <c r="U744" s="311">
        <f t="shared" ca="1" si="321"/>
        <v>0</v>
      </c>
      <c r="V744" s="306">
        <f t="shared" ca="1" si="322"/>
        <v>1.2263128904744405</v>
      </c>
      <c r="W744" s="304">
        <f t="shared" ca="1" si="323"/>
        <v>25.399975663860111</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0.31612765395810705</v>
      </c>
      <c r="AH744" s="304">
        <f t="shared" ca="1" si="347"/>
        <v>-9.4800635190491285</v>
      </c>
    </row>
    <row r="745" spans="1:34" x14ac:dyDescent="0.2">
      <c r="A745" s="347">
        <f t="shared" ca="1" si="325"/>
        <v>1E-4</v>
      </c>
      <c r="B745" s="304">
        <f t="shared" ca="1" si="326"/>
        <v>36.622700000000961</v>
      </c>
      <c r="D745" s="306">
        <f t="shared" ca="1" si="327"/>
        <v>-0.50282137294784279</v>
      </c>
      <c r="E745" s="307">
        <f t="shared" ca="1" si="328"/>
        <v>-0.34326516124992423</v>
      </c>
      <c r="F745" s="304">
        <f t="shared" ca="1" si="329"/>
        <v>0.60881877765151926</v>
      </c>
      <c r="G745" s="306">
        <f t="shared" ca="1" si="330"/>
        <v>5.334297685421169</v>
      </c>
      <c r="H745" s="307">
        <f t="shared" ca="1" si="331"/>
        <v>-100.43104315664306</v>
      </c>
      <c r="I745" s="304">
        <f t="shared" ca="1" si="332"/>
        <v>100.57260641610215</v>
      </c>
      <c r="J745" s="306">
        <f t="shared" ca="1" si="333"/>
        <v>711.72888807733182</v>
      </c>
      <c r="K745" s="307">
        <f t="shared" ca="1" si="334"/>
        <v>-10.72177622766819</v>
      </c>
      <c r="L745" s="304">
        <f t="shared" ca="1" si="319"/>
        <v>711.80964211597427</v>
      </c>
      <c r="M745" s="306">
        <f t="shared" ca="1" si="335"/>
        <v>-1.5177321566435231</v>
      </c>
      <c r="N745" s="304">
        <f t="shared" ca="1" si="336"/>
        <v>-86.959647006962228</v>
      </c>
      <c r="P745" s="310">
        <f t="shared" ca="1" si="337"/>
        <v>23</v>
      </c>
      <c r="Q745" s="304">
        <f t="shared" ca="1" si="338"/>
        <v>0</v>
      </c>
      <c r="R745" s="306">
        <f t="shared" ca="1" si="339"/>
        <v>0</v>
      </c>
      <c r="S745" s="307">
        <f t="shared" ca="1" si="340"/>
        <v>2.6792999999999987</v>
      </c>
      <c r="T745" s="304">
        <f t="shared" ca="1" si="320"/>
        <v>26.283932999999987</v>
      </c>
      <c r="U745" s="311">
        <f t="shared" ca="1" si="321"/>
        <v>0</v>
      </c>
      <c r="V745" s="306">
        <f t="shared" ca="1" si="322"/>
        <v>1.2263141220740301</v>
      </c>
      <c r="W745" s="304">
        <f t="shared" ca="1" si="323"/>
        <v>25.400017140435015</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0.31611244251653936</v>
      </c>
      <c r="AH745" s="304">
        <f t="shared" ca="1" si="347"/>
        <v>-9.4800789996865316</v>
      </c>
    </row>
    <row r="746" spans="1:34" x14ac:dyDescent="0.2">
      <c r="A746" s="347">
        <f t="shared" ca="1" si="325"/>
        <v>1E-4</v>
      </c>
      <c r="B746" s="304">
        <f t="shared" ca="1" si="326"/>
        <v>36.622800000000964</v>
      </c>
      <c r="D746" s="306">
        <f t="shared" ca="1" si="327"/>
        <v>-0.50281729632575278</v>
      </c>
      <c r="E746" s="307">
        <f t="shared" ca="1" si="328"/>
        <v>-0.34324944252504253</v>
      </c>
      <c r="F746" s="304">
        <f t="shared" ca="1" si="329"/>
        <v>0.60880654832064052</v>
      </c>
      <c r="G746" s="306">
        <f t="shared" ca="1" si="330"/>
        <v>5.3342474036915366</v>
      </c>
      <c r="H746" s="307">
        <f t="shared" ca="1" si="331"/>
        <v>-100.43107748158731</v>
      </c>
      <c r="I746" s="304">
        <f t="shared" ca="1" si="332"/>
        <v>100.57263802583873</v>
      </c>
      <c r="J746" s="306">
        <f t="shared" ca="1" si="333"/>
        <v>711.72888807733182</v>
      </c>
      <c r="K746" s="307">
        <f t="shared" ca="1" si="334"/>
        <v>-10.731819333700102</v>
      </c>
      <c r="L746" s="304">
        <f t="shared" ca="1" si="319"/>
        <v>711.80979346311778</v>
      </c>
      <c r="M746" s="306">
        <f t="shared" ca="1" si="335"/>
        <v>-1.5177326739962094</v>
      </c>
      <c r="N746" s="304">
        <f t="shared" ca="1" si="336"/>
        <v>-86.959676649087669</v>
      </c>
      <c r="P746" s="310">
        <f t="shared" ca="1" si="337"/>
        <v>23</v>
      </c>
      <c r="Q746" s="304">
        <f t="shared" ca="1" si="338"/>
        <v>0</v>
      </c>
      <c r="R746" s="306">
        <f t="shared" ca="1" si="339"/>
        <v>0</v>
      </c>
      <c r="S746" s="307">
        <f t="shared" ca="1" si="340"/>
        <v>2.6792999999999987</v>
      </c>
      <c r="T746" s="304">
        <f t="shared" ca="1" si="320"/>
        <v>26.283932999999987</v>
      </c>
      <c r="U746" s="311">
        <f t="shared" ca="1" si="321"/>
        <v>0</v>
      </c>
      <c r="V746" s="306">
        <f t="shared" ca="1" si="322"/>
        <v>1.2263153536752787</v>
      </c>
      <c r="W746" s="304">
        <f t="shared" ca="1" si="323"/>
        <v>25.400058616313014</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0.31609723132974388</v>
      </c>
      <c r="AH746" s="304">
        <f t="shared" ca="1" si="347"/>
        <v>-9.4800944800638334</v>
      </c>
    </row>
    <row r="747" spans="1:34" x14ac:dyDescent="0.2">
      <c r="A747" s="347">
        <f t="shared" ca="1" si="325"/>
        <v>1E-4</v>
      </c>
      <c r="B747" s="304">
        <f t="shared" ca="1" si="326"/>
        <v>36.622900000000968</v>
      </c>
      <c r="D747" s="306">
        <f t="shared" ca="1" si="327"/>
        <v>-0.50281321972298176</v>
      </c>
      <c r="E747" s="307">
        <f t="shared" ca="1" si="328"/>
        <v>-0.34323372406420383</v>
      </c>
      <c r="F747" s="304">
        <f t="shared" ca="1" si="329"/>
        <v>0.6087943193420694</v>
      </c>
      <c r="G747" s="306">
        <f t="shared" ca="1" si="330"/>
        <v>5.3341971223695639</v>
      </c>
      <c r="H747" s="307">
        <f t="shared" ca="1" si="331"/>
        <v>-100.43111180495971</v>
      </c>
      <c r="I747" s="304">
        <f t="shared" ca="1" si="332"/>
        <v>100.57266963405424</v>
      </c>
      <c r="J747" s="306">
        <f t="shared" ca="1" si="333"/>
        <v>711.72888807733182</v>
      </c>
      <c r="K747" s="307">
        <f t="shared" ca="1" si="334"/>
        <v>-10.741862443164429</v>
      </c>
      <c r="L747" s="304">
        <f t="shared" ca="1" si="319"/>
        <v>711.80994495198149</v>
      </c>
      <c r="M747" s="306">
        <f t="shared" ca="1" si="335"/>
        <v>-1.5177331913436938</v>
      </c>
      <c r="N747" s="304">
        <f t="shared" ca="1" si="336"/>
        <v>-86.959706290915065</v>
      </c>
      <c r="P747" s="310">
        <f t="shared" ca="1" si="337"/>
        <v>23</v>
      </c>
      <c r="Q747" s="304">
        <f t="shared" ca="1" si="338"/>
        <v>0</v>
      </c>
      <c r="R747" s="306">
        <f t="shared" ca="1" si="339"/>
        <v>0</v>
      </c>
      <c r="S747" s="307">
        <f t="shared" ca="1" si="340"/>
        <v>2.6792999999999987</v>
      </c>
      <c r="T747" s="304">
        <f t="shared" ca="1" si="320"/>
        <v>26.283932999999987</v>
      </c>
      <c r="U747" s="311">
        <f t="shared" ca="1" si="321"/>
        <v>0</v>
      </c>
      <c r="V747" s="306">
        <f t="shared" ca="1" si="322"/>
        <v>1.2263165852781852</v>
      </c>
      <c r="W747" s="304">
        <f t="shared" ca="1" si="323"/>
        <v>25.400100091494142</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0.31608202039772948</v>
      </c>
      <c r="AH747" s="304">
        <f t="shared" ca="1" si="347"/>
        <v>-9.4801099601810268</v>
      </c>
    </row>
    <row r="748" spans="1:34" x14ac:dyDescent="0.2">
      <c r="A748" s="347">
        <f t="shared" ca="1" si="325"/>
        <v>1E-4</v>
      </c>
      <c r="B748" s="304">
        <f t="shared" ca="1" si="326"/>
        <v>36.623000000000971</v>
      </c>
      <c r="D748" s="306">
        <f t="shared" ca="1" si="327"/>
        <v>-0.50280914313953107</v>
      </c>
      <c r="E748" s="307">
        <f t="shared" ca="1" si="328"/>
        <v>-0.34321800586739037</v>
      </c>
      <c r="F748" s="304">
        <f t="shared" ca="1" si="329"/>
        <v>0.60878209071579747</v>
      </c>
      <c r="G748" s="306">
        <f t="shared" ca="1" si="330"/>
        <v>5.33414684145525</v>
      </c>
      <c r="H748" s="307">
        <f t="shared" ca="1" si="331"/>
        <v>-100.4311461267603</v>
      </c>
      <c r="I748" s="304">
        <f t="shared" ca="1" si="332"/>
        <v>100.57270124074866</v>
      </c>
      <c r="J748" s="306">
        <f t="shared" ca="1" si="333"/>
        <v>711.72888807733182</v>
      </c>
      <c r="K748" s="307">
        <f t="shared" ca="1" si="334"/>
        <v>-10.751905556061015</v>
      </c>
      <c r="L748" s="304">
        <f t="shared" ca="1" si="319"/>
        <v>711.81009658256573</v>
      </c>
      <c r="M748" s="306">
        <f t="shared" ca="1" si="335"/>
        <v>-1.5177337086859766</v>
      </c>
      <c r="N748" s="304">
        <f t="shared" ca="1" si="336"/>
        <v>-86.959735932444431</v>
      </c>
      <c r="P748" s="310">
        <f t="shared" ca="1" si="337"/>
        <v>23</v>
      </c>
      <c r="Q748" s="304">
        <f t="shared" ca="1" si="338"/>
        <v>0</v>
      </c>
      <c r="R748" s="306">
        <f t="shared" ca="1" si="339"/>
        <v>0</v>
      </c>
      <c r="S748" s="307">
        <f t="shared" ca="1" si="340"/>
        <v>2.6792999999999987</v>
      </c>
      <c r="T748" s="304">
        <f t="shared" ca="1" si="320"/>
        <v>26.283932999999987</v>
      </c>
      <c r="U748" s="311">
        <f t="shared" ca="1" si="321"/>
        <v>0</v>
      </c>
      <c r="V748" s="306">
        <f t="shared" ca="1" si="322"/>
        <v>1.2263178168827509</v>
      </c>
      <c r="W748" s="304">
        <f t="shared" ca="1" si="323"/>
        <v>25.400141565978405</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0.3160668097204784</v>
      </c>
      <c r="AH748" s="304">
        <f t="shared" ca="1" si="347"/>
        <v>-9.4801254400381278</v>
      </c>
    </row>
    <row r="749" spans="1:34" x14ac:dyDescent="0.2">
      <c r="A749" s="347">
        <f t="shared" ca="1" si="325"/>
        <v>1E-4</v>
      </c>
      <c r="B749" s="304">
        <f t="shared" ca="1" si="326"/>
        <v>36.623100000000974</v>
      </c>
      <c r="D749" s="306">
        <f t="shared" ca="1" si="327"/>
        <v>-0.50280506657539936</v>
      </c>
      <c r="E749" s="307">
        <f t="shared" ca="1" si="328"/>
        <v>-0.34320228793460572</v>
      </c>
      <c r="F749" s="304">
        <f t="shared" ca="1" si="329"/>
        <v>0.60876986244182607</v>
      </c>
      <c r="G749" s="306">
        <f t="shared" ca="1" si="330"/>
        <v>5.3340965609485922</v>
      </c>
      <c r="H749" s="307">
        <f t="shared" ca="1" si="331"/>
        <v>-100.43118044698909</v>
      </c>
      <c r="I749" s="304">
        <f t="shared" ca="1" si="332"/>
        <v>100.57273284592205</v>
      </c>
      <c r="J749" s="306">
        <f t="shared" ca="1" si="333"/>
        <v>711.72888807733182</v>
      </c>
      <c r="K749" s="307">
        <f t="shared" ca="1" si="334"/>
        <v>-10.761948672389702</v>
      </c>
      <c r="L749" s="304">
        <f t="shared" ca="1" si="319"/>
        <v>711.8102483548704</v>
      </c>
      <c r="M749" s="306">
        <f t="shared" ca="1" si="335"/>
        <v>-1.5177342260230575</v>
      </c>
      <c r="N749" s="304">
        <f t="shared" ca="1" si="336"/>
        <v>-86.959765573675753</v>
      </c>
      <c r="P749" s="310">
        <f t="shared" ca="1" si="337"/>
        <v>23</v>
      </c>
      <c r="Q749" s="304">
        <f t="shared" ca="1" si="338"/>
        <v>0</v>
      </c>
      <c r="R749" s="306">
        <f t="shared" ca="1" si="339"/>
        <v>0</v>
      </c>
      <c r="S749" s="307">
        <f t="shared" ca="1" si="340"/>
        <v>2.6792999999999987</v>
      </c>
      <c r="T749" s="304">
        <f t="shared" ca="1" si="320"/>
        <v>26.283932999999987</v>
      </c>
      <c r="U749" s="311">
        <f t="shared" ca="1" si="321"/>
        <v>0</v>
      </c>
      <c r="V749" s="306">
        <f t="shared" ca="1" si="322"/>
        <v>1.2263190484889743</v>
      </c>
      <c r="W749" s="304">
        <f t="shared" ca="1" si="323"/>
        <v>25.400183039765796</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0.31605159929799242</v>
      </c>
      <c r="AH749" s="304">
        <f t="shared" ca="1" si="347"/>
        <v>-9.4801409196351347</v>
      </c>
    </row>
    <row r="750" spans="1:34" x14ac:dyDescent="0.2">
      <c r="A750" s="347">
        <f t="shared" ca="1" si="325"/>
        <v>1E-4</v>
      </c>
      <c r="B750" s="304">
        <f t="shared" ca="1" si="326"/>
        <v>36.623200000000978</v>
      </c>
      <c r="D750" s="306">
        <f t="shared" ca="1" si="327"/>
        <v>-0.5028009900305892</v>
      </c>
      <c r="E750" s="307">
        <f t="shared" ca="1" si="328"/>
        <v>-0.34318657026584809</v>
      </c>
      <c r="F750" s="304">
        <f t="shared" ca="1" si="329"/>
        <v>0.60875763452015663</v>
      </c>
      <c r="G750" s="306">
        <f t="shared" ca="1" si="330"/>
        <v>5.3340462808495888</v>
      </c>
      <c r="H750" s="307">
        <f t="shared" ca="1" si="331"/>
        <v>-100.43121476564612</v>
      </c>
      <c r="I750" s="304">
        <f t="shared" ca="1" si="332"/>
        <v>100.57276444957442</v>
      </c>
      <c r="J750" s="306">
        <f t="shared" ca="1" si="333"/>
        <v>711.72888807733182</v>
      </c>
      <c r="K750" s="307">
        <f t="shared" ca="1" si="334"/>
        <v>-10.771991792150333</v>
      </c>
      <c r="L750" s="304">
        <f t="shared" ca="1" si="319"/>
        <v>711.81040026889559</v>
      </c>
      <c r="M750" s="306">
        <f t="shared" ca="1" si="335"/>
        <v>-1.5177347433549369</v>
      </c>
      <c r="N750" s="304">
        <f t="shared" ca="1" si="336"/>
        <v>-86.959795214609045</v>
      </c>
      <c r="P750" s="310">
        <f t="shared" ca="1" si="337"/>
        <v>23</v>
      </c>
      <c r="Q750" s="304">
        <f t="shared" ca="1" si="338"/>
        <v>0</v>
      </c>
      <c r="R750" s="306">
        <f t="shared" ca="1" si="339"/>
        <v>0</v>
      </c>
      <c r="S750" s="307">
        <f t="shared" ca="1" si="340"/>
        <v>2.6792999999999987</v>
      </c>
      <c r="T750" s="304">
        <f t="shared" ca="1" si="320"/>
        <v>26.283932999999987</v>
      </c>
      <c r="U750" s="311">
        <f t="shared" ca="1" si="321"/>
        <v>0</v>
      </c>
      <c r="V750" s="306">
        <f t="shared" ca="1" si="322"/>
        <v>1.2263202800968567</v>
      </c>
      <c r="W750" s="304">
        <f t="shared" ca="1" si="323"/>
        <v>25.400224512856351</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0.31603638913027332</v>
      </c>
      <c r="AH750" s="304">
        <f t="shared" ca="1" si="347"/>
        <v>-9.4801563989720474</v>
      </c>
    </row>
    <row r="751" spans="1:34" x14ac:dyDescent="0.2">
      <c r="A751" s="347">
        <f t="shared" ca="1" si="325"/>
        <v>1E-4</v>
      </c>
      <c r="B751" s="304">
        <f t="shared" ca="1" si="326"/>
        <v>36.623300000000981</v>
      </c>
      <c r="D751" s="306">
        <f t="shared" ca="1" si="327"/>
        <v>-0.50279691350510003</v>
      </c>
      <c r="E751" s="307">
        <f t="shared" ca="1" si="328"/>
        <v>-0.34317085286110327</v>
      </c>
      <c r="F751" s="304">
        <f t="shared" ca="1" si="329"/>
        <v>0.60874540695078105</v>
      </c>
      <c r="G751" s="306">
        <f t="shared" ca="1" si="330"/>
        <v>5.3339960011582379</v>
      </c>
      <c r="H751" s="307">
        <f t="shared" ca="1" si="331"/>
        <v>-100.4312490827314</v>
      </c>
      <c r="I751" s="304">
        <f t="shared" ca="1" si="332"/>
        <v>100.57279605170579</v>
      </c>
      <c r="J751" s="306">
        <f t="shared" ca="1" si="333"/>
        <v>711.72888807733182</v>
      </c>
      <c r="K751" s="307">
        <f t="shared" ca="1" si="334"/>
        <v>-10.782034915342752</v>
      </c>
      <c r="L751" s="304">
        <f t="shared" ca="1" si="319"/>
        <v>711.81055232464121</v>
      </c>
      <c r="M751" s="306">
        <f t="shared" ca="1" si="335"/>
        <v>-1.5177352606816146</v>
      </c>
      <c r="N751" s="304">
        <f t="shared" ca="1" si="336"/>
        <v>-86.959824855244307</v>
      </c>
      <c r="P751" s="310">
        <f t="shared" ca="1" si="337"/>
        <v>23</v>
      </c>
      <c r="Q751" s="304">
        <f t="shared" ca="1" si="338"/>
        <v>0</v>
      </c>
      <c r="R751" s="306">
        <f t="shared" ca="1" si="339"/>
        <v>0</v>
      </c>
      <c r="S751" s="307">
        <f t="shared" ca="1" si="340"/>
        <v>2.6792999999999987</v>
      </c>
      <c r="T751" s="304">
        <f t="shared" ca="1" si="320"/>
        <v>26.283932999999987</v>
      </c>
      <c r="U751" s="311">
        <f t="shared" ca="1" si="321"/>
        <v>0</v>
      </c>
      <c r="V751" s="306">
        <f t="shared" ca="1" si="322"/>
        <v>1.2263215117063977</v>
      </c>
      <c r="W751" s="304">
        <f t="shared" ca="1" si="323"/>
        <v>25.400265985250066</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0.31602117921730688</v>
      </c>
      <c r="AH751" s="304">
        <f t="shared" ca="1" si="347"/>
        <v>-9.4801718780488802</v>
      </c>
    </row>
    <row r="752" spans="1:34" x14ac:dyDescent="0.2">
      <c r="A752" s="347">
        <f t="shared" ca="1" si="325"/>
        <v>1E-4</v>
      </c>
      <c r="B752" s="304">
        <f t="shared" ca="1" si="326"/>
        <v>36.623400000000984</v>
      </c>
      <c r="D752" s="306">
        <f t="shared" ca="1" si="327"/>
        <v>-0.50279283699893218</v>
      </c>
      <c r="E752" s="307">
        <f t="shared" ca="1" si="328"/>
        <v>-0.34315513572037837</v>
      </c>
      <c r="F752" s="304">
        <f t="shared" ca="1" si="329"/>
        <v>0.60873317973370411</v>
      </c>
      <c r="G752" s="306">
        <f t="shared" ca="1" si="330"/>
        <v>5.3339457218745379</v>
      </c>
      <c r="H752" s="307">
        <f t="shared" ca="1" si="331"/>
        <v>-100.43128339824497</v>
      </c>
      <c r="I752" s="304">
        <f t="shared" ca="1" si="332"/>
        <v>100.57282765231621</v>
      </c>
      <c r="J752" s="306">
        <f t="shared" ca="1" si="333"/>
        <v>711.72888807733182</v>
      </c>
      <c r="K752" s="307">
        <f t="shared" ca="1" si="334"/>
        <v>-10.792078041966802</v>
      </c>
      <c r="L752" s="304">
        <f t="shared" ca="1" si="319"/>
        <v>711.81070452210747</v>
      </c>
      <c r="M752" s="306">
        <f t="shared" ca="1" si="335"/>
        <v>-1.5177357780030909</v>
      </c>
      <c r="N752" s="304">
        <f t="shared" ca="1" si="336"/>
        <v>-86.959854495581553</v>
      </c>
      <c r="P752" s="310">
        <f t="shared" ca="1" si="337"/>
        <v>23</v>
      </c>
      <c r="Q752" s="304">
        <f t="shared" ca="1" si="338"/>
        <v>0</v>
      </c>
      <c r="R752" s="306">
        <f t="shared" ca="1" si="339"/>
        <v>0</v>
      </c>
      <c r="S752" s="307">
        <f t="shared" ca="1" si="340"/>
        <v>2.6792999999999987</v>
      </c>
      <c r="T752" s="304">
        <f t="shared" ca="1" si="320"/>
        <v>26.283932999999987</v>
      </c>
      <c r="U752" s="311">
        <f t="shared" ca="1" si="321"/>
        <v>0</v>
      </c>
      <c r="V752" s="306">
        <f t="shared" ca="1" si="322"/>
        <v>1.2263227433175967</v>
      </c>
      <c r="W752" s="304">
        <f t="shared" ca="1" si="323"/>
        <v>25.400307456946944</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0.31600596955909488</v>
      </c>
      <c r="AH752" s="304">
        <f t="shared" ca="1" si="347"/>
        <v>-9.4801873568656276</v>
      </c>
    </row>
    <row r="753" spans="1:34" x14ac:dyDescent="0.2">
      <c r="A753" s="347">
        <f t="shared" ca="1" si="325"/>
        <v>1E-4</v>
      </c>
      <c r="B753" s="304">
        <f t="shared" ca="1" si="326"/>
        <v>36.623500000000988</v>
      </c>
      <c r="D753" s="306">
        <f t="shared" ca="1" si="327"/>
        <v>-0.50278876051208443</v>
      </c>
      <c r="E753" s="307">
        <f t="shared" ca="1" si="328"/>
        <v>-0.34313941884366628</v>
      </c>
      <c r="F753" s="304">
        <f t="shared" ca="1" si="329"/>
        <v>0.60872095286892103</v>
      </c>
      <c r="G753" s="306">
        <f t="shared" ca="1" si="330"/>
        <v>5.3338954429984868</v>
      </c>
      <c r="H753" s="307">
        <f t="shared" ca="1" si="331"/>
        <v>-100.43131771218685</v>
      </c>
      <c r="I753" s="304">
        <f t="shared" ca="1" si="332"/>
        <v>100.57285925140567</v>
      </c>
      <c r="J753" s="306">
        <f t="shared" ca="1" si="333"/>
        <v>711.72888807733182</v>
      </c>
      <c r="K753" s="307">
        <f t="shared" ca="1" si="334"/>
        <v>-10.802121172022323</v>
      </c>
      <c r="L753" s="304">
        <f t="shared" ca="1" si="319"/>
        <v>711.81085686129438</v>
      </c>
      <c r="M753" s="306">
        <f t="shared" ca="1" si="335"/>
        <v>-1.5177362953193656</v>
      </c>
      <c r="N753" s="304">
        <f t="shared" ca="1" si="336"/>
        <v>-86.959884135620769</v>
      </c>
      <c r="P753" s="310">
        <f t="shared" ca="1" si="337"/>
        <v>23</v>
      </c>
      <c r="Q753" s="304">
        <f t="shared" ca="1" si="338"/>
        <v>0</v>
      </c>
      <c r="R753" s="306">
        <f t="shared" ca="1" si="339"/>
        <v>0</v>
      </c>
      <c r="S753" s="307">
        <f t="shared" ca="1" si="340"/>
        <v>2.6792999999999987</v>
      </c>
      <c r="T753" s="304">
        <f t="shared" ca="1" si="320"/>
        <v>26.283932999999987</v>
      </c>
      <c r="U753" s="311">
        <f t="shared" ca="1" si="321"/>
        <v>0</v>
      </c>
      <c r="V753" s="306">
        <f t="shared" ca="1" si="322"/>
        <v>1.2263239749304542</v>
      </c>
      <c r="W753" s="304">
        <f t="shared" ca="1" si="323"/>
        <v>25.400348927946993</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0.31599076015563732</v>
      </c>
      <c r="AH753" s="304">
        <f t="shared" ca="1" si="347"/>
        <v>-9.4802028354222951</v>
      </c>
    </row>
    <row r="754" spans="1:34" x14ac:dyDescent="0.2">
      <c r="A754" s="347">
        <f t="shared" ca="1" si="325"/>
        <v>1E-4</v>
      </c>
      <c r="B754" s="304">
        <f t="shared" ca="1" si="326"/>
        <v>36.623600000000991</v>
      </c>
      <c r="D754" s="306">
        <f t="shared" ca="1" si="327"/>
        <v>-0.50278468404455967</v>
      </c>
      <c r="E754" s="307">
        <f t="shared" ca="1" si="328"/>
        <v>-0.34312370223096522</v>
      </c>
      <c r="F754" s="304">
        <f t="shared" ca="1" si="329"/>
        <v>0.6087087263564338</v>
      </c>
      <c r="G754" s="306">
        <f t="shared" ca="1" si="330"/>
        <v>5.3338451645300822</v>
      </c>
      <c r="H754" s="307">
        <f t="shared" ca="1" si="331"/>
        <v>-100.43135202455707</v>
      </c>
      <c r="I754" s="304">
        <f t="shared" ca="1" si="332"/>
        <v>100.57289084897423</v>
      </c>
      <c r="J754" s="306">
        <f t="shared" ca="1" si="333"/>
        <v>711.72888807733182</v>
      </c>
      <c r="K754" s="307">
        <f t="shared" ca="1" si="334"/>
        <v>-10.81216430550916</v>
      </c>
      <c r="L754" s="304">
        <f t="shared" ca="1" si="319"/>
        <v>711.81100934220206</v>
      </c>
      <c r="M754" s="306">
        <f t="shared" ca="1" si="335"/>
        <v>-1.5177368126304389</v>
      </c>
      <c r="N754" s="304">
        <f t="shared" ca="1" si="336"/>
        <v>-86.959913775361969</v>
      </c>
      <c r="P754" s="310">
        <f t="shared" ca="1" si="337"/>
        <v>23</v>
      </c>
      <c r="Q754" s="304">
        <f t="shared" ca="1" si="338"/>
        <v>0</v>
      </c>
      <c r="R754" s="306">
        <f t="shared" ca="1" si="339"/>
        <v>0</v>
      </c>
      <c r="S754" s="307">
        <f t="shared" ca="1" si="340"/>
        <v>2.6792999999999987</v>
      </c>
      <c r="T754" s="304">
        <f t="shared" ca="1" si="320"/>
        <v>26.283932999999987</v>
      </c>
      <c r="U754" s="311">
        <f t="shared" ca="1" si="321"/>
        <v>0</v>
      </c>
      <c r="V754" s="306">
        <f t="shared" ca="1" si="322"/>
        <v>1.2263252065449701</v>
      </c>
      <c r="W754" s="304">
        <f t="shared" ca="1" si="323"/>
        <v>25.400390398250238</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0.31597555100692887</v>
      </c>
      <c r="AH754" s="304">
        <f t="shared" ca="1" si="347"/>
        <v>-9.4802183137188845</v>
      </c>
    </row>
    <row r="755" spans="1:34" x14ac:dyDescent="0.2">
      <c r="A755" s="347">
        <f t="shared" ca="1" si="325"/>
        <v>1E-4</v>
      </c>
      <c r="B755" s="304">
        <f t="shared" ca="1" si="326"/>
        <v>36.623700000000994</v>
      </c>
      <c r="D755" s="306">
        <f t="shared" ca="1" si="327"/>
        <v>-0.5027806075963569</v>
      </c>
      <c r="E755" s="307">
        <f t="shared" ca="1" si="328"/>
        <v>-0.34310798588226987</v>
      </c>
      <c r="F755" s="304">
        <f t="shared" ca="1" si="329"/>
        <v>0.60869650019623878</v>
      </c>
      <c r="G755" s="306">
        <f t="shared" ca="1" si="330"/>
        <v>5.3337948864693221</v>
      </c>
      <c r="H755" s="307">
        <f t="shared" ca="1" si="331"/>
        <v>-100.43138633535565</v>
      </c>
      <c r="I755" s="304">
        <f t="shared" ca="1" si="332"/>
        <v>100.57292244502189</v>
      </c>
      <c r="J755" s="306">
        <f t="shared" ca="1" si="333"/>
        <v>711.72888807733182</v>
      </c>
      <c r="K755" s="307">
        <f t="shared" ca="1" si="334"/>
        <v>-10.822207442427157</v>
      </c>
      <c r="L755" s="304">
        <f t="shared" ca="1" si="319"/>
        <v>711.81116196483038</v>
      </c>
      <c r="M755" s="306">
        <f t="shared" ca="1" si="335"/>
        <v>-1.5177373299363111</v>
      </c>
      <c r="N755" s="304">
        <f t="shared" ca="1" si="336"/>
        <v>-86.959943414805153</v>
      </c>
      <c r="P755" s="310">
        <f t="shared" ca="1" si="337"/>
        <v>23</v>
      </c>
      <c r="Q755" s="304">
        <f t="shared" ca="1" si="338"/>
        <v>0</v>
      </c>
      <c r="R755" s="306">
        <f t="shared" ca="1" si="339"/>
        <v>0</v>
      </c>
      <c r="S755" s="307">
        <f t="shared" ca="1" si="340"/>
        <v>2.6792999999999987</v>
      </c>
      <c r="T755" s="304">
        <f t="shared" ca="1" si="320"/>
        <v>26.283932999999987</v>
      </c>
      <c r="U755" s="311">
        <f t="shared" ca="1" si="321"/>
        <v>0</v>
      </c>
      <c r="V755" s="306">
        <f t="shared" ca="1" si="322"/>
        <v>1.2263264381611443</v>
      </c>
      <c r="W755" s="304">
        <f t="shared" ca="1" si="323"/>
        <v>25.400431867856682</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0.3159603421129642</v>
      </c>
      <c r="AH755" s="304">
        <f t="shared" ca="1" si="347"/>
        <v>-9.4802337917554027</v>
      </c>
    </row>
    <row r="756" spans="1:34" x14ac:dyDescent="0.2">
      <c r="A756" s="347">
        <f t="shared" ca="1" si="325"/>
        <v>1E-4</v>
      </c>
      <c r="B756" s="304">
        <f t="shared" ca="1" si="326"/>
        <v>36.623800000000998</v>
      </c>
      <c r="D756" s="306">
        <f t="shared" ca="1" si="327"/>
        <v>-0.50277653116747467</v>
      </c>
      <c r="E756" s="307">
        <f t="shared" ca="1" si="328"/>
        <v>-0.3430922697975749</v>
      </c>
      <c r="F756" s="304">
        <f t="shared" ca="1" si="329"/>
        <v>0.60868427438833228</v>
      </c>
      <c r="G756" s="306">
        <f t="shared" ca="1" si="330"/>
        <v>5.3337446088162057</v>
      </c>
      <c r="H756" s="307">
        <f t="shared" ca="1" si="331"/>
        <v>-100.43142064458263</v>
      </c>
      <c r="I756" s="304">
        <f t="shared" ca="1" si="332"/>
        <v>100.57295403954869</v>
      </c>
      <c r="J756" s="306">
        <f t="shared" ca="1" si="333"/>
        <v>711.72888807733182</v>
      </c>
      <c r="K756" s="307">
        <f t="shared" ca="1" si="334"/>
        <v>-10.832250582776155</v>
      </c>
      <c r="L756" s="304">
        <f t="shared" ca="1" si="319"/>
        <v>711.81131472917957</v>
      </c>
      <c r="M756" s="306">
        <f t="shared" ca="1" si="335"/>
        <v>-1.5177378472369818</v>
      </c>
      <c r="N756" s="304">
        <f t="shared" ca="1" si="336"/>
        <v>-86.959973053950335</v>
      </c>
      <c r="P756" s="310">
        <f t="shared" ca="1" si="337"/>
        <v>23</v>
      </c>
      <c r="Q756" s="304">
        <f t="shared" ca="1" si="338"/>
        <v>0</v>
      </c>
      <c r="R756" s="306">
        <f t="shared" ca="1" si="339"/>
        <v>0</v>
      </c>
      <c r="S756" s="307">
        <f t="shared" ca="1" si="340"/>
        <v>2.6792999999999987</v>
      </c>
      <c r="T756" s="304">
        <f t="shared" ca="1" si="320"/>
        <v>26.283932999999987</v>
      </c>
      <c r="U756" s="311">
        <f t="shared" ca="1" si="321"/>
        <v>0</v>
      </c>
      <c r="V756" s="306">
        <f t="shared" ca="1" si="322"/>
        <v>1.2263276697789769</v>
      </c>
      <c r="W756" s="304">
        <f t="shared" ca="1" si="323"/>
        <v>25.400473336766332</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0.31594513347373798</v>
      </c>
      <c r="AH756" s="304">
        <f t="shared" ca="1" si="347"/>
        <v>-9.4802492695318534</v>
      </c>
    </row>
    <row r="757" spans="1:34" x14ac:dyDescent="0.2">
      <c r="A757" s="347">
        <f t="shared" ca="1" si="325"/>
        <v>1E-4</v>
      </c>
      <c r="B757" s="304">
        <f t="shared" ca="1" si="326"/>
        <v>36.623900000001001</v>
      </c>
      <c r="D757" s="306">
        <f t="shared" ca="1" si="327"/>
        <v>-0.50277245475791599</v>
      </c>
      <c r="E757" s="307">
        <f t="shared" ca="1" si="328"/>
        <v>-0.34307655397687853</v>
      </c>
      <c r="F757" s="304">
        <f t="shared" ca="1" si="329"/>
        <v>0.60867204893271609</v>
      </c>
      <c r="G757" s="306">
        <f t="shared" ca="1" si="330"/>
        <v>5.3336943315707304</v>
      </c>
      <c r="H757" s="307">
        <f t="shared" ca="1" si="331"/>
        <v>-100.43145495223803</v>
      </c>
      <c r="I757" s="304">
        <f t="shared" ca="1" si="332"/>
        <v>100.57298563255466</v>
      </c>
      <c r="J757" s="306">
        <f t="shared" ca="1" si="333"/>
        <v>711.72888807733182</v>
      </c>
      <c r="K757" s="307">
        <f t="shared" ca="1" si="334"/>
        <v>-10.842293726555996</v>
      </c>
      <c r="L757" s="304">
        <f t="shared" ca="1" si="319"/>
        <v>711.81146763524964</v>
      </c>
      <c r="M757" s="306">
        <f t="shared" ca="1" si="335"/>
        <v>-1.5177383645324516</v>
      </c>
      <c r="N757" s="304">
        <f t="shared" ca="1" si="336"/>
        <v>-86.960002692797516</v>
      </c>
      <c r="P757" s="310">
        <f t="shared" ca="1" si="337"/>
        <v>23</v>
      </c>
      <c r="Q757" s="304">
        <f t="shared" ca="1" si="338"/>
        <v>0</v>
      </c>
      <c r="R757" s="306">
        <f t="shared" ca="1" si="339"/>
        <v>0</v>
      </c>
      <c r="S757" s="307">
        <f t="shared" ca="1" si="340"/>
        <v>2.6792999999999987</v>
      </c>
      <c r="T757" s="304">
        <f t="shared" ca="1" si="320"/>
        <v>26.283932999999987</v>
      </c>
      <c r="U757" s="311">
        <f t="shared" ca="1" si="321"/>
        <v>0</v>
      </c>
      <c r="V757" s="306">
        <f t="shared" ca="1" si="322"/>
        <v>1.2263289013984682</v>
      </c>
      <c r="W757" s="304">
        <f t="shared" ca="1" si="323"/>
        <v>25.40051480497921</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0.315929925089252</v>
      </c>
      <c r="AH757" s="304">
        <f t="shared" ca="1" si="347"/>
        <v>-9.4802647470482384</v>
      </c>
    </row>
    <row r="758" spans="1:34" x14ac:dyDescent="0.2">
      <c r="A758" s="347">
        <f t="shared" ca="1" si="325"/>
        <v>1E-4</v>
      </c>
      <c r="B758" s="304">
        <f t="shared" ca="1" si="326"/>
        <v>36.624000000001004</v>
      </c>
      <c r="D758" s="306">
        <f t="shared" ca="1" si="327"/>
        <v>-0.50276837836767763</v>
      </c>
      <c r="E758" s="307">
        <f t="shared" ca="1" si="328"/>
        <v>-0.34306083842017365</v>
      </c>
      <c r="F758" s="304">
        <f t="shared" ca="1" si="329"/>
        <v>0.60865982382938399</v>
      </c>
      <c r="G758" s="306">
        <f t="shared" ca="1" si="330"/>
        <v>5.3336440547328934</v>
      </c>
      <c r="H758" s="307">
        <f t="shared" ca="1" si="331"/>
        <v>-100.43148925832188</v>
      </c>
      <c r="I758" s="304">
        <f t="shared" ca="1" si="332"/>
        <v>100.57301722403982</v>
      </c>
      <c r="J758" s="306">
        <f t="shared" ca="1" si="333"/>
        <v>711.72888807733182</v>
      </c>
      <c r="K758" s="307">
        <f t="shared" ca="1" si="334"/>
        <v>-10.852336873766523</v>
      </c>
      <c r="L758" s="304">
        <f t="shared" ca="1" si="319"/>
        <v>711.81162068304059</v>
      </c>
      <c r="M758" s="306">
        <f t="shared" ca="1" si="335"/>
        <v>-1.51773888182272</v>
      </c>
      <c r="N758" s="304">
        <f t="shared" ca="1" si="336"/>
        <v>-86.960032331346667</v>
      </c>
      <c r="P758" s="310">
        <f t="shared" ca="1" si="337"/>
        <v>23</v>
      </c>
      <c r="Q758" s="304">
        <f t="shared" ca="1" si="338"/>
        <v>0</v>
      </c>
      <c r="R758" s="306">
        <f t="shared" ca="1" si="339"/>
        <v>0</v>
      </c>
      <c r="S758" s="307">
        <f t="shared" ca="1" si="340"/>
        <v>2.6792999999999987</v>
      </c>
      <c r="T758" s="304">
        <f t="shared" ca="1" si="320"/>
        <v>26.283932999999987</v>
      </c>
      <c r="U758" s="311">
        <f t="shared" ca="1" si="321"/>
        <v>0</v>
      </c>
      <c r="V758" s="306">
        <f t="shared" ca="1" si="322"/>
        <v>1.2263301330196172</v>
      </c>
      <c r="W758" s="304">
        <f t="shared" ca="1" si="323"/>
        <v>25.400556272495308</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0.31591471695949735</v>
      </c>
      <c r="AH758" s="304">
        <f t="shared" ca="1" si="347"/>
        <v>-9.4802802243045647</v>
      </c>
    </row>
    <row r="759" spans="1:34" x14ac:dyDescent="0.2">
      <c r="A759" s="347">
        <f t="shared" ca="1" si="325"/>
        <v>1E-4</v>
      </c>
      <c r="B759" s="304">
        <f t="shared" ca="1" si="326"/>
        <v>36.624100000001008</v>
      </c>
      <c r="D759" s="306">
        <f t="shared" ca="1" si="327"/>
        <v>-0.50276430199676436</v>
      </c>
      <c r="E759" s="307">
        <f t="shared" ca="1" si="328"/>
        <v>-0.34304512312746205</v>
      </c>
      <c r="F759" s="304">
        <f t="shared" ca="1" si="329"/>
        <v>0.60864759907834132</v>
      </c>
      <c r="G759" s="306">
        <f t="shared" ca="1" si="330"/>
        <v>5.3335937783026939</v>
      </c>
      <c r="H759" s="307">
        <f t="shared" ca="1" si="331"/>
        <v>-100.43152356283419</v>
      </c>
      <c r="I759" s="304">
        <f t="shared" ca="1" si="332"/>
        <v>100.57304881400418</v>
      </c>
      <c r="J759" s="306">
        <f t="shared" ca="1" si="333"/>
        <v>711.72888807733182</v>
      </c>
      <c r="K759" s="307">
        <f t="shared" ca="1" si="334"/>
        <v>-10.862380024407582</v>
      </c>
      <c r="L759" s="304">
        <f t="shared" ca="1" si="319"/>
        <v>711.81177387255252</v>
      </c>
      <c r="M759" s="306">
        <f t="shared" ca="1" si="335"/>
        <v>-1.5177393991077872</v>
      </c>
      <c r="N759" s="304">
        <f t="shared" ca="1" si="336"/>
        <v>-86.960061969597831</v>
      </c>
      <c r="P759" s="310">
        <f t="shared" ca="1" si="337"/>
        <v>23</v>
      </c>
      <c r="Q759" s="304">
        <f t="shared" ca="1" si="338"/>
        <v>0</v>
      </c>
      <c r="R759" s="306">
        <f t="shared" ca="1" si="339"/>
        <v>0</v>
      </c>
      <c r="S759" s="307">
        <f t="shared" ca="1" si="340"/>
        <v>2.6792999999999987</v>
      </c>
      <c r="T759" s="304">
        <f t="shared" ca="1" si="320"/>
        <v>26.283932999999987</v>
      </c>
      <c r="U759" s="311">
        <f t="shared" ca="1" si="321"/>
        <v>0</v>
      </c>
      <c r="V759" s="306">
        <f t="shared" ca="1" si="322"/>
        <v>1.2263313646424248</v>
      </c>
      <c r="W759" s="304">
        <f t="shared" ca="1" si="323"/>
        <v>25.400597739314641</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0.31589950908447229</v>
      </c>
      <c r="AH759" s="304">
        <f t="shared" ca="1" si="347"/>
        <v>-9.4802957013008324</v>
      </c>
    </row>
    <row r="760" spans="1:34" x14ac:dyDescent="0.2">
      <c r="A760" s="347">
        <f t="shared" ca="1" si="325"/>
        <v>1E-4</v>
      </c>
      <c r="B760" s="304">
        <f t="shared" ca="1" si="326"/>
        <v>36.624200000001011</v>
      </c>
      <c r="D760" s="306">
        <f t="shared" ca="1" si="327"/>
        <v>-0.50276022564517509</v>
      </c>
      <c r="E760" s="307">
        <f t="shared" ca="1" si="328"/>
        <v>-0.34302940809873661</v>
      </c>
      <c r="F760" s="304">
        <f t="shared" ca="1" si="329"/>
        <v>0.60863537467958351</v>
      </c>
      <c r="G760" s="306">
        <f t="shared" ca="1" si="330"/>
        <v>5.3335435022801292</v>
      </c>
      <c r="H760" s="307">
        <f t="shared" ca="1" si="331"/>
        <v>-100.43155786577499</v>
      </c>
      <c r="I760" s="304">
        <f t="shared" ca="1" si="332"/>
        <v>100.57308040244777</v>
      </c>
      <c r="J760" s="306">
        <f t="shared" ca="1" si="333"/>
        <v>711.72888807733182</v>
      </c>
      <c r="K760" s="307">
        <f t="shared" ca="1" si="334"/>
        <v>-10.872423178479012</v>
      </c>
      <c r="L760" s="304">
        <f t="shared" ca="1" si="319"/>
        <v>711.81192720378544</v>
      </c>
      <c r="M760" s="306">
        <f t="shared" ca="1" si="335"/>
        <v>-1.5177399163876537</v>
      </c>
      <c r="N760" s="304">
        <f t="shared" ca="1" si="336"/>
        <v>-86.960091607551007</v>
      </c>
      <c r="P760" s="310">
        <f t="shared" ca="1" si="337"/>
        <v>23</v>
      </c>
      <c r="Q760" s="304">
        <f t="shared" ca="1" si="338"/>
        <v>0</v>
      </c>
      <c r="R760" s="306">
        <f t="shared" ca="1" si="339"/>
        <v>0</v>
      </c>
      <c r="S760" s="307">
        <f t="shared" ca="1" si="340"/>
        <v>2.6792999999999987</v>
      </c>
      <c r="T760" s="304">
        <f t="shared" ca="1" si="320"/>
        <v>26.283932999999987</v>
      </c>
      <c r="U760" s="311">
        <f t="shared" ca="1" si="321"/>
        <v>0</v>
      </c>
      <c r="V760" s="306">
        <f t="shared" ca="1" si="322"/>
        <v>1.2263325962668907</v>
      </c>
      <c r="W760" s="304">
        <f t="shared" ca="1" si="323"/>
        <v>25.400639205437216</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0.31588430146417679</v>
      </c>
      <c r="AH760" s="304">
        <f t="shared" ca="1" si="347"/>
        <v>-9.480311178037045</v>
      </c>
    </row>
    <row r="761" spans="1:34" x14ac:dyDescent="0.2">
      <c r="A761" s="347">
        <f t="shared" ca="1" si="325"/>
        <v>1E-4</v>
      </c>
      <c r="B761" s="304">
        <f t="shared" ca="1" si="326"/>
        <v>36.624300000001014</v>
      </c>
      <c r="D761" s="306">
        <f t="shared" ca="1" si="327"/>
        <v>-0.50275614931290613</v>
      </c>
      <c r="E761" s="307">
        <f t="shared" ca="1" si="328"/>
        <v>-0.34301369333399911</v>
      </c>
      <c r="F761" s="304">
        <f t="shared" ca="1" si="329"/>
        <v>0.6086231506331089</v>
      </c>
      <c r="G761" s="306">
        <f t="shared" ca="1" si="330"/>
        <v>5.3334932266651975</v>
      </c>
      <c r="H761" s="307">
        <f t="shared" ca="1" si="331"/>
        <v>-100.43159216714433</v>
      </c>
      <c r="I761" s="304">
        <f t="shared" ca="1" si="332"/>
        <v>100.57311198937064</v>
      </c>
      <c r="J761" s="306">
        <f t="shared" ca="1" si="333"/>
        <v>711.72888807733182</v>
      </c>
      <c r="K761" s="307">
        <f t="shared" ca="1" si="334"/>
        <v>-10.882466335980657</v>
      </c>
      <c r="L761" s="304">
        <f t="shared" ca="1" si="319"/>
        <v>711.81208067673936</v>
      </c>
      <c r="M761" s="306">
        <f t="shared" ca="1" si="335"/>
        <v>-1.517740433662319</v>
      </c>
      <c r="N761" s="304">
        <f t="shared" ca="1" si="336"/>
        <v>-86.960121245206182</v>
      </c>
      <c r="P761" s="310">
        <f t="shared" ca="1" si="337"/>
        <v>23</v>
      </c>
      <c r="Q761" s="304">
        <f t="shared" ca="1" si="338"/>
        <v>0</v>
      </c>
      <c r="R761" s="306">
        <f t="shared" ca="1" si="339"/>
        <v>0</v>
      </c>
      <c r="S761" s="307">
        <f t="shared" ca="1" si="340"/>
        <v>2.6792999999999987</v>
      </c>
      <c r="T761" s="304">
        <f t="shared" ca="1" si="320"/>
        <v>26.283932999999987</v>
      </c>
      <c r="U761" s="311">
        <f t="shared" ca="1" si="321"/>
        <v>0</v>
      </c>
      <c r="V761" s="306">
        <f t="shared" ca="1" si="322"/>
        <v>1.2263338278930149</v>
      </c>
      <c r="W761" s="304">
        <f t="shared" ca="1" si="323"/>
        <v>25.400680670863057</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0.31586909409860553</v>
      </c>
      <c r="AH761" s="304">
        <f t="shared" ca="1" si="347"/>
        <v>-9.4803266545132043</v>
      </c>
    </row>
    <row r="762" spans="1:34" x14ac:dyDescent="0.2">
      <c r="A762" s="347">
        <f t="shared" ca="1" si="325"/>
        <v>1E-4</v>
      </c>
      <c r="B762" s="304">
        <f t="shared" ca="1" si="326"/>
        <v>36.624400000001017</v>
      </c>
      <c r="D762" s="306">
        <f t="shared" ca="1" si="327"/>
        <v>-0.50275207299996316</v>
      </c>
      <c r="E762" s="307">
        <f t="shared" ca="1" si="328"/>
        <v>-0.34299797883323713</v>
      </c>
      <c r="F762" s="304">
        <f t="shared" ca="1" si="329"/>
        <v>0.60861092693891561</v>
      </c>
      <c r="G762" s="306">
        <f t="shared" ca="1" si="330"/>
        <v>5.3334429514578972</v>
      </c>
      <c r="H762" s="307">
        <f t="shared" ca="1" si="331"/>
        <v>-100.43162646694222</v>
      </c>
      <c r="I762" s="304">
        <f t="shared" ca="1" si="332"/>
        <v>100.57314357477281</v>
      </c>
      <c r="J762" s="306">
        <f t="shared" ca="1" si="333"/>
        <v>711.72888807733182</v>
      </c>
      <c r="K762" s="307">
        <f t="shared" ca="1" si="334"/>
        <v>-10.892509496912362</v>
      </c>
      <c r="L762" s="304">
        <f t="shared" ca="1" si="319"/>
        <v>711.81223429141448</v>
      </c>
      <c r="M762" s="306">
        <f t="shared" ca="1" si="335"/>
        <v>-1.5177409509317836</v>
      </c>
      <c r="N762" s="304">
        <f t="shared" ca="1" si="336"/>
        <v>-86.960150882563369</v>
      </c>
      <c r="P762" s="310">
        <f t="shared" ca="1" si="337"/>
        <v>23</v>
      </c>
      <c r="Q762" s="304">
        <f t="shared" ca="1" si="338"/>
        <v>0</v>
      </c>
      <c r="R762" s="306">
        <f t="shared" ca="1" si="339"/>
        <v>0</v>
      </c>
      <c r="S762" s="307">
        <f t="shared" ca="1" si="340"/>
        <v>2.6792999999999987</v>
      </c>
      <c r="T762" s="304">
        <f t="shared" ca="1" si="320"/>
        <v>26.283932999999987</v>
      </c>
      <c r="U762" s="311">
        <f t="shared" ca="1" si="321"/>
        <v>0</v>
      </c>
      <c r="V762" s="306">
        <f t="shared" ca="1" si="322"/>
        <v>1.2263350595207974</v>
      </c>
      <c r="W762" s="304">
        <f t="shared" ca="1" si="323"/>
        <v>25.400722135592169</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0.31585388698775141</v>
      </c>
      <c r="AH762" s="304">
        <f t="shared" ca="1" si="347"/>
        <v>-9.480342130729321</v>
      </c>
    </row>
    <row r="763" spans="1:34" x14ac:dyDescent="0.2">
      <c r="A763" s="347">
        <f t="shared" ca="1" si="325"/>
        <v>1E-4</v>
      </c>
      <c r="B763" s="304">
        <f t="shared" ca="1" si="326"/>
        <v>36.624500000001021</v>
      </c>
      <c r="D763" s="306">
        <f t="shared" ca="1" si="327"/>
        <v>-0.50274799670634251</v>
      </c>
      <c r="E763" s="307">
        <f t="shared" ca="1" si="328"/>
        <v>-0.3429822645964471</v>
      </c>
      <c r="F763" s="304">
        <f t="shared" ca="1" si="329"/>
        <v>0.60859870359699897</v>
      </c>
      <c r="G763" s="306">
        <f t="shared" ca="1" si="330"/>
        <v>5.3333926766582263</v>
      </c>
      <c r="H763" s="307">
        <f t="shared" ca="1" si="331"/>
        <v>-100.43166076516867</v>
      </c>
      <c r="I763" s="304">
        <f t="shared" ca="1" si="332"/>
        <v>100.57317515865427</v>
      </c>
      <c r="J763" s="306">
        <f t="shared" ca="1" si="333"/>
        <v>711.72888807733182</v>
      </c>
      <c r="K763" s="307">
        <f t="shared" ca="1" si="334"/>
        <v>-10.902552661273967</v>
      </c>
      <c r="L763" s="304">
        <f t="shared" ca="1" si="319"/>
        <v>711.81238804781071</v>
      </c>
      <c r="M763" s="306">
        <f t="shared" ca="1" si="335"/>
        <v>-1.5177414681960473</v>
      </c>
      <c r="N763" s="304">
        <f t="shared" ca="1" si="336"/>
        <v>-86.960180519622568</v>
      </c>
      <c r="P763" s="310">
        <f t="shared" ca="1" si="337"/>
        <v>23</v>
      </c>
      <c r="Q763" s="304">
        <f t="shared" ca="1" si="338"/>
        <v>0</v>
      </c>
      <c r="R763" s="306">
        <f t="shared" ca="1" si="339"/>
        <v>0</v>
      </c>
      <c r="S763" s="307">
        <f t="shared" ca="1" si="340"/>
        <v>2.6792999999999987</v>
      </c>
      <c r="T763" s="304">
        <f t="shared" ca="1" si="320"/>
        <v>26.283932999999987</v>
      </c>
      <c r="U763" s="311">
        <f t="shared" ca="1" si="321"/>
        <v>0</v>
      </c>
      <c r="V763" s="306">
        <f t="shared" ca="1" si="322"/>
        <v>1.226336291150238</v>
      </c>
      <c r="W763" s="304">
        <f t="shared" ca="1" si="323"/>
        <v>25.400763599624536</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0.31583868013161087</v>
      </c>
      <c r="AH763" s="304">
        <f t="shared" ca="1" si="347"/>
        <v>-9.4803576066853967</v>
      </c>
    </row>
    <row r="764" spans="1:34" x14ac:dyDescent="0.2">
      <c r="A764" s="347">
        <f t="shared" ca="1" si="325"/>
        <v>1E-4</v>
      </c>
      <c r="B764" s="304">
        <f t="shared" ca="1" si="326"/>
        <v>36.624600000001024</v>
      </c>
      <c r="D764" s="306">
        <f t="shared" ca="1" si="327"/>
        <v>-0.50274392043204663</v>
      </c>
      <c r="E764" s="307">
        <f t="shared" ca="1" si="328"/>
        <v>-0.34296655062363968</v>
      </c>
      <c r="F764" s="304">
        <f t="shared" ca="1" si="329"/>
        <v>0.60858648060736742</v>
      </c>
      <c r="G764" s="306">
        <f t="shared" ca="1" si="330"/>
        <v>5.3333424022661831</v>
      </c>
      <c r="H764" s="307">
        <f t="shared" ca="1" si="331"/>
        <v>-100.43169506182373</v>
      </c>
      <c r="I764" s="304">
        <f t="shared" ca="1" si="332"/>
        <v>100.57320674101507</v>
      </c>
      <c r="J764" s="306">
        <f t="shared" ca="1" si="333"/>
        <v>711.72888807733182</v>
      </c>
      <c r="K764" s="307">
        <f t="shared" ca="1" si="334"/>
        <v>-10.912595829065317</v>
      </c>
      <c r="L764" s="304">
        <f t="shared" ca="1" si="319"/>
        <v>711.81254194592816</v>
      </c>
      <c r="M764" s="306">
        <f t="shared" ca="1" si="335"/>
        <v>-1.51774198545511</v>
      </c>
      <c r="N764" s="304">
        <f t="shared" ca="1" si="336"/>
        <v>-86.960210156383781</v>
      </c>
      <c r="P764" s="310">
        <f t="shared" ca="1" si="337"/>
        <v>23</v>
      </c>
      <c r="Q764" s="304">
        <f t="shared" ca="1" si="338"/>
        <v>0</v>
      </c>
      <c r="R764" s="306">
        <f t="shared" ca="1" si="339"/>
        <v>0</v>
      </c>
      <c r="S764" s="307">
        <f t="shared" ca="1" si="340"/>
        <v>2.6792999999999987</v>
      </c>
      <c r="T764" s="304">
        <f t="shared" ca="1" si="320"/>
        <v>26.283932999999987</v>
      </c>
      <c r="U764" s="311">
        <f t="shared" ca="1" si="321"/>
        <v>0</v>
      </c>
      <c r="V764" s="306">
        <f t="shared" ca="1" si="322"/>
        <v>1.2263375227813367</v>
      </c>
      <c r="W764" s="304">
        <f t="shared" ca="1" si="323"/>
        <v>25.400805062960188</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0.31582347353019102</v>
      </c>
      <c r="AH764" s="304">
        <f t="shared" ca="1" si="347"/>
        <v>-9.4803730823814245</v>
      </c>
    </row>
    <row r="765" spans="1:34" x14ac:dyDescent="0.2">
      <c r="A765" s="347">
        <f t="shared" ca="1" si="325"/>
        <v>1E-4</v>
      </c>
      <c r="B765" s="304">
        <f t="shared" ca="1" si="326"/>
        <v>36.624700000001027</v>
      </c>
      <c r="D765" s="306">
        <f t="shared" ca="1" si="327"/>
        <v>-0.50273984417707673</v>
      </c>
      <c r="E765" s="307">
        <f t="shared" ca="1" si="328"/>
        <v>-0.34295083691480066</v>
      </c>
      <c r="F765" s="304">
        <f t="shared" ca="1" si="329"/>
        <v>0.60857425797001441</v>
      </c>
      <c r="G765" s="306">
        <f t="shared" ca="1" si="330"/>
        <v>5.3332921282817649</v>
      </c>
      <c r="H765" s="307">
        <f t="shared" ca="1" si="331"/>
        <v>-100.43172935690743</v>
      </c>
      <c r="I765" s="304">
        <f t="shared" ca="1" si="332"/>
        <v>100.57323832185524</v>
      </c>
      <c r="J765" s="306">
        <f t="shared" ca="1" si="333"/>
        <v>711.72888807733182</v>
      </c>
      <c r="K765" s="307">
        <f t="shared" ca="1" si="334"/>
        <v>-10.922639000286253</v>
      </c>
      <c r="L765" s="304">
        <f t="shared" ca="1" si="319"/>
        <v>711.81269598576682</v>
      </c>
      <c r="M765" s="306">
        <f t="shared" ca="1" si="335"/>
        <v>-1.5177425027089722</v>
      </c>
      <c r="N765" s="304">
        <f t="shared" ca="1" si="336"/>
        <v>-86.96023979284702</v>
      </c>
      <c r="P765" s="310">
        <f t="shared" ca="1" si="337"/>
        <v>23</v>
      </c>
      <c r="Q765" s="304">
        <f t="shared" ca="1" si="338"/>
        <v>0</v>
      </c>
      <c r="R765" s="306">
        <f t="shared" ca="1" si="339"/>
        <v>0</v>
      </c>
      <c r="S765" s="307">
        <f t="shared" ca="1" si="340"/>
        <v>2.6792999999999987</v>
      </c>
      <c r="T765" s="304">
        <f t="shared" ca="1" si="320"/>
        <v>26.283932999999987</v>
      </c>
      <c r="U765" s="311">
        <f t="shared" ca="1" si="321"/>
        <v>0</v>
      </c>
      <c r="V765" s="306">
        <f t="shared" ca="1" si="322"/>
        <v>1.226338754414094</v>
      </c>
      <c r="W765" s="304">
        <f t="shared" ca="1" si="323"/>
        <v>25.400846525599142</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0.31580826718348298</v>
      </c>
      <c r="AH765" s="304">
        <f t="shared" ca="1" si="347"/>
        <v>-9.480388557817415</v>
      </c>
    </row>
    <row r="766" spans="1:34" x14ac:dyDescent="0.2">
      <c r="A766" s="347">
        <f t="shared" ca="1" si="325"/>
        <v>1E-4</v>
      </c>
      <c r="B766" s="304">
        <f t="shared" ca="1" si="326"/>
        <v>36.624800000001031</v>
      </c>
      <c r="D766" s="306">
        <f t="shared" ca="1" si="327"/>
        <v>-0.50273576794142971</v>
      </c>
      <c r="E766" s="307">
        <f t="shared" ca="1" si="328"/>
        <v>-0.34293512346992472</v>
      </c>
      <c r="F766" s="304">
        <f t="shared" ca="1" si="329"/>
        <v>0.6085620356849345</v>
      </c>
      <c r="G766" s="306">
        <f t="shared" ca="1" si="330"/>
        <v>5.3332418547049709</v>
      </c>
      <c r="H766" s="307">
        <f t="shared" ca="1" si="331"/>
        <v>-100.43176365041977</v>
      </c>
      <c r="I766" s="304">
        <f t="shared" ca="1" si="332"/>
        <v>100.5732699011748</v>
      </c>
      <c r="J766" s="306">
        <f t="shared" ca="1" si="333"/>
        <v>711.72888807733182</v>
      </c>
      <c r="K766" s="307">
        <f t="shared" ca="1" si="334"/>
        <v>-10.93268217493662</v>
      </c>
      <c r="L766" s="304">
        <f t="shared" ca="1" si="319"/>
        <v>711.81285016732693</v>
      </c>
      <c r="M766" s="306">
        <f t="shared" ca="1" si="335"/>
        <v>-1.5177430199576336</v>
      </c>
      <c r="N766" s="304">
        <f t="shared" ca="1" si="336"/>
        <v>-86.960269429012286</v>
      </c>
      <c r="P766" s="310">
        <f t="shared" ca="1" si="337"/>
        <v>23</v>
      </c>
      <c r="Q766" s="304">
        <f t="shared" ca="1" si="338"/>
        <v>0</v>
      </c>
      <c r="R766" s="306">
        <f t="shared" ca="1" si="339"/>
        <v>0</v>
      </c>
      <c r="S766" s="307">
        <f t="shared" ca="1" si="340"/>
        <v>2.6792999999999987</v>
      </c>
      <c r="T766" s="304">
        <f t="shared" ca="1" si="320"/>
        <v>26.283932999999987</v>
      </c>
      <c r="U766" s="311">
        <f t="shared" ca="1" si="321"/>
        <v>0</v>
      </c>
      <c r="V766" s="306">
        <f t="shared" ca="1" si="322"/>
        <v>1.2263399860485094</v>
      </c>
      <c r="W766" s="304">
        <f t="shared" ca="1" si="323"/>
        <v>25.400887987541402</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0.31579306109147609</v>
      </c>
      <c r="AH766" s="304">
        <f t="shared" ca="1" si="347"/>
        <v>-9.480404032993377</v>
      </c>
    </row>
    <row r="767" spans="1:34" x14ac:dyDescent="0.2">
      <c r="A767" s="347">
        <f t="shared" ca="1" si="325"/>
        <v>1E-4</v>
      </c>
      <c r="B767" s="304">
        <f t="shared" ca="1" si="326"/>
        <v>36.624900000001034</v>
      </c>
      <c r="D767" s="306">
        <f t="shared" ca="1" si="327"/>
        <v>-0.50273169172510834</v>
      </c>
      <c r="E767" s="307">
        <f t="shared" ca="1" si="328"/>
        <v>-0.3429194102890083</v>
      </c>
      <c r="F767" s="304">
        <f t="shared" ca="1" si="329"/>
        <v>0.60854981375212869</v>
      </c>
      <c r="G767" s="306">
        <f t="shared" ca="1" si="330"/>
        <v>5.3331915815357984</v>
      </c>
      <c r="H767" s="307">
        <f t="shared" ca="1" si="331"/>
        <v>-100.4317979423608</v>
      </c>
      <c r="I767" s="304">
        <f t="shared" ca="1" si="332"/>
        <v>100.5733014789738</v>
      </c>
      <c r="J767" s="306">
        <f t="shared" ca="1" si="333"/>
        <v>711.72888807733182</v>
      </c>
      <c r="K767" s="307">
        <f t="shared" ca="1" si="334"/>
        <v>-10.942725353016259</v>
      </c>
      <c r="L767" s="304">
        <f t="shared" ca="1" si="319"/>
        <v>711.81300449060825</v>
      </c>
      <c r="M767" s="306">
        <f t="shared" ca="1" si="335"/>
        <v>-1.5177435372010946</v>
      </c>
      <c r="N767" s="304">
        <f t="shared" ca="1" si="336"/>
        <v>-86.960299064879578</v>
      </c>
      <c r="P767" s="310">
        <f t="shared" ca="1" si="337"/>
        <v>23</v>
      </c>
      <c r="Q767" s="304">
        <f t="shared" ca="1" si="338"/>
        <v>0</v>
      </c>
      <c r="R767" s="306">
        <f t="shared" ca="1" si="339"/>
        <v>0</v>
      </c>
      <c r="S767" s="307">
        <f t="shared" ca="1" si="340"/>
        <v>2.6792999999999987</v>
      </c>
      <c r="T767" s="304">
        <f t="shared" ca="1" si="320"/>
        <v>26.283932999999987</v>
      </c>
      <c r="U767" s="311">
        <f t="shared" ca="1" si="321"/>
        <v>0</v>
      </c>
      <c r="V767" s="306">
        <f t="shared" ca="1" si="322"/>
        <v>1.2263412176845825</v>
      </c>
      <c r="W767" s="304">
        <f t="shared" ca="1" si="323"/>
        <v>25.400929448786979</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0.31577785525417212</v>
      </c>
      <c r="AH767" s="304">
        <f t="shared" ca="1" si="347"/>
        <v>-9.4804195079093105</v>
      </c>
    </row>
    <row r="768" spans="1:34" x14ac:dyDescent="0.2">
      <c r="A768" s="347">
        <f t="shared" ca="1" si="325"/>
        <v>1E-4</v>
      </c>
      <c r="B768" s="304">
        <f t="shared" ca="1" si="326"/>
        <v>36.625000000001037</v>
      </c>
      <c r="D768" s="306">
        <f t="shared" ca="1" si="327"/>
        <v>-0.5027276155281114</v>
      </c>
      <c r="E768" s="307">
        <f t="shared" ca="1" si="328"/>
        <v>-0.3429036973720514</v>
      </c>
      <c r="F768" s="304">
        <f t="shared" ca="1" si="329"/>
        <v>0.6085375921715962</v>
      </c>
      <c r="G768" s="306">
        <f t="shared" ca="1" si="330"/>
        <v>5.3331413087742456</v>
      </c>
      <c r="H768" s="307">
        <f t="shared" ca="1" si="331"/>
        <v>-100.43183223273054</v>
      </c>
      <c r="I768" s="304">
        <f t="shared" ca="1" si="332"/>
        <v>100.57333305525221</v>
      </c>
      <c r="J768" s="306">
        <f t="shared" ca="1" si="333"/>
        <v>711.72888807733182</v>
      </c>
      <c r="K768" s="307">
        <f t="shared" ca="1" si="334"/>
        <v>-10.952768534525013</v>
      </c>
      <c r="L768" s="304">
        <f t="shared" ca="1" si="319"/>
        <v>711.81315895561102</v>
      </c>
      <c r="M768" s="306">
        <f t="shared" ca="1" si="335"/>
        <v>-1.517744054439355</v>
      </c>
      <c r="N768" s="304">
        <f t="shared" ca="1" si="336"/>
        <v>-86.960328700448898</v>
      </c>
      <c r="P768" s="310">
        <f t="shared" ca="1" si="337"/>
        <v>23</v>
      </c>
      <c r="Q768" s="304">
        <f t="shared" ca="1" si="338"/>
        <v>0</v>
      </c>
      <c r="R768" s="306">
        <f t="shared" ca="1" si="339"/>
        <v>0</v>
      </c>
      <c r="S768" s="307">
        <f t="shared" ca="1" si="340"/>
        <v>2.6792999999999987</v>
      </c>
      <c r="T768" s="304">
        <f t="shared" ca="1" si="320"/>
        <v>26.283932999999987</v>
      </c>
      <c r="U768" s="311">
        <f t="shared" ca="1" si="321"/>
        <v>0</v>
      </c>
      <c r="V768" s="306">
        <f t="shared" ca="1" si="322"/>
        <v>1.2263424493223141</v>
      </c>
      <c r="W768" s="304">
        <f t="shared" ca="1" si="323"/>
        <v>25.400970909335864</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0.31576264967156575</v>
      </c>
      <c r="AH768" s="304">
        <f t="shared" ca="1" si="347"/>
        <v>-9.4804349825652192</v>
      </c>
    </row>
    <row r="769" spans="1:34" x14ac:dyDescent="0.2">
      <c r="A769" s="347">
        <f t="shared" ca="1" si="325"/>
        <v>1E-4</v>
      </c>
      <c r="B769" s="304">
        <f t="shared" ca="1" si="326"/>
        <v>36.625100000001041</v>
      </c>
      <c r="D769" s="306">
        <f t="shared" ca="1" si="327"/>
        <v>-0.50272353935043945</v>
      </c>
      <c r="E769" s="307">
        <f t="shared" ca="1" si="328"/>
        <v>-0.34288798471905046</v>
      </c>
      <c r="F769" s="304">
        <f t="shared" ca="1" si="329"/>
        <v>0.60852537094333592</v>
      </c>
      <c r="G769" s="306">
        <f t="shared" ca="1" si="330"/>
        <v>5.3330910364203108</v>
      </c>
      <c r="H769" s="307">
        <f t="shared" ca="1" si="331"/>
        <v>-100.43186652152902</v>
      </c>
      <c r="I769" s="304">
        <f t="shared" ca="1" si="332"/>
        <v>100.5733646300101</v>
      </c>
      <c r="J769" s="306">
        <f t="shared" ca="1" si="333"/>
        <v>711.72888807733182</v>
      </c>
      <c r="K769" s="307">
        <f t="shared" ca="1" si="334"/>
        <v>-10.962811719462726</v>
      </c>
      <c r="L769" s="304">
        <f t="shared" ca="1" si="319"/>
        <v>711.81331356233534</v>
      </c>
      <c r="M769" s="306">
        <f t="shared" ca="1" si="335"/>
        <v>-1.5177445716724149</v>
      </c>
      <c r="N769" s="304">
        <f t="shared" ca="1" si="336"/>
        <v>-86.960358335720258</v>
      </c>
      <c r="P769" s="310">
        <f t="shared" ca="1" si="337"/>
        <v>23</v>
      </c>
      <c r="Q769" s="304">
        <f t="shared" ca="1" si="338"/>
        <v>0</v>
      </c>
      <c r="R769" s="306">
        <f t="shared" ca="1" si="339"/>
        <v>0</v>
      </c>
      <c r="S769" s="307">
        <f t="shared" ca="1" si="340"/>
        <v>2.6792999999999987</v>
      </c>
      <c r="T769" s="304">
        <f t="shared" ca="1" si="320"/>
        <v>26.283932999999987</v>
      </c>
      <c r="U769" s="311">
        <f t="shared" ca="1" si="321"/>
        <v>0</v>
      </c>
      <c r="V769" s="306">
        <f t="shared" ca="1" si="322"/>
        <v>1.2263436809617041</v>
      </c>
      <c r="W769" s="304">
        <f t="shared" ca="1" si="323"/>
        <v>25.401012369188098</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0.31574744434366231</v>
      </c>
      <c r="AH769" s="304">
        <f t="shared" ca="1" si="347"/>
        <v>-9.4804504569611012</v>
      </c>
    </row>
    <row r="770" spans="1:34" x14ac:dyDescent="0.2">
      <c r="A770" s="347">
        <f t="shared" ca="1" si="325"/>
        <v>1E-4</v>
      </c>
      <c r="B770" s="304">
        <f t="shared" ca="1" si="326"/>
        <v>36.625200000001044</v>
      </c>
      <c r="D770" s="306">
        <f t="shared" ca="1" si="327"/>
        <v>-0.5027194631920936</v>
      </c>
      <c r="E770" s="307">
        <f t="shared" ca="1" si="328"/>
        <v>-0.3428722723299984</v>
      </c>
      <c r="F770" s="304">
        <f t="shared" ca="1" si="329"/>
        <v>0.60851315006734508</v>
      </c>
      <c r="G770" s="306">
        <f t="shared" ca="1" si="330"/>
        <v>5.3330407644739912</v>
      </c>
      <c r="H770" s="307">
        <f t="shared" ca="1" si="331"/>
        <v>-100.43190080875625</v>
      </c>
      <c r="I770" s="304">
        <f t="shared" ca="1" si="332"/>
        <v>100.57339620324748</v>
      </c>
      <c r="J770" s="306">
        <f t="shared" ca="1" si="333"/>
        <v>711.72888807733182</v>
      </c>
      <c r="K770" s="307">
        <f t="shared" ca="1" si="334"/>
        <v>-10.972854907829241</v>
      </c>
      <c r="L770" s="304">
        <f t="shared" ca="1" si="319"/>
        <v>711.8134683107811</v>
      </c>
      <c r="M770" s="306">
        <f t="shared" ca="1" si="335"/>
        <v>-1.5177450889002744</v>
      </c>
      <c r="N770" s="304">
        <f t="shared" ca="1" si="336"/>
        <v>-86.960387970693645</v>
      </c>
      <c r="P770" s="310">
        <f t="shared" ca="1" si="337"/>
        <v>23</v>
      </c>
      <c r="Q770" s="304">
        <f t="shared" ca="1" si="338"/>
        <v>0</v>
      </c>
      <c r="R770" s="306">
        <f t="shared" ca="1" si="339"/>
        <v>0</v>
      </c>
      <c r="S770" s="307">
        <f t="shared" ca="1" si="340"/>
        <v>2.6792999999999987</v>
      </c>
      <c r="T770" s="304">
        <f t="shared" ca="1" si="320"/>
        <v>26.283932999999987</v>
      </c>
      <c r="U770" s="311">
        <f t="shared" ca="1" si="321"/>
        <v>0</v>
      </c>
      <c r="V770" s="306">
        <f t="shared" ca="1" si="322"/>
        <v>1.2263449126027517</v>
      </c>
      <c r="W770" s="304">
        <f t="shared" ca="1" si="323"/>
        <v>25.40105382834366</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0.31573223927044403</v>
      </c>
      <c r="AH770" s="304">
        <f t="shared" ca="1" si="347"/>
        <v>-9.480465931096969</v>
      </c>
    </row>
    <row r="771" spans="1:34" x14ac:dyDescent="0.2">
      <c r="A771" s="347">
        <f t="shared" ca="1" si="325"/>
        <v>1E-4</v>
      </c>
      <c r="B771" s="304">
        <f t="shared" ca="1" si="326"/>
        <v>36.625300000001047</v>
      </c>
      <c r="D771" s="306">
        <f t="shared" ca="1" si="327"/>
        <v>-0.50271538705307461</v>
      </c>
      <c r="E771" s="307">
        <f t="shared" ca="1" si="328"/>
        <v>-0.34285656020489697</v>
      </c>
      <c r="F771" s="304">
        <f t="shared" ca="1" si="329"/>
        <v>0.60850092954362589</v>
      </c>
      <c r="G771" s="306">
        <f t="shared" ca="1" si="330"/>
        <v>5.332990492935286</v>
      </c>
      <c r="H771" s="307">
        <f t="shared" ca="1" si="331"/>
        <v>-100.43193509441227</v>
      </c>
      <c r="I771" s="304">
        <f t="shared" ca="1" si="332"/>
        <v>100.57342777496439</v>
      </c>
      <c r="J771" s="306">
        <f t="shared" ca="1" si="333"/>
        <v>711.72888807733182</v>
      </c>
      <c r="K771" s="307">
        <f t="shared" ca="1" si="334"/>
        <v>-10.9828980996244</v>
      </c>
      <c r="L771" s="304">
        <f t="shared" ca="1" si="319"/>
        <v>711.81362320094854</v>
      </c>
      <c r="M771" s="306">
        <f t="shared" ca="1" si="335"/>
        <v>-1.5177456061229335</v>
      </c>
      <c r="N771" s="304">
        <f t="shared" ca="1" si="336"/>
        <v>-86.960417605369088</v>
      </c>
      <c r="P771" s="310">
        <f t="shared" ca="1" si="337"/>
        <v>23</v>
      </c>
      <c r="Q771" s="304">
        <f t="shared" ca="1" si="338"/>
        <v>0</v>
      </c>
      <c r="R771" s="306">
        <f t="shared" ca="1" si="339"/>
        <v>0</v>
      </c>
      <c r="S771" s="307">
        <f t="shared" ca="1" si="340"/>
        <v>2.6792999999999987</v>
      </c>
      <c r="T771" s="304">
        <f t="shared" ca="1" si="320"/>
        <v>26.283932999999987</v>
      </c>
      <c r="U771" s="311">
        <f t="shared" ca="1" si="321"/>
        <v>0</v>
      </c>
      <c r="V771" s="306">
        <f t="shared" ca="1" si="322"/>
        <v>1.2263461442454577</v>
      </c>
      <c r="W771" s="304">
        <f t="shared" ca="1" si="323"/>
        <v>25.401095286802583</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0.31571703445191979</v>
      </c>
      <c r="AH771" s="304">
        <f t="shared" ca="1" si="347"/>
        <v>-9.480481404972819</v>
      </c>
    </row>
    <row r="772" spans="1:34" x14ac:dyDescent="0.2">
      <c r="A772" s="347">
        <f t="shared" ca="1" si="325"/>
        <v>1E-4</v>
      </c>
      <c r="B772" s="304">
        <f t="shared" ca="1" si="326"/>
        <v>36.625400000001051</v>
      </c>
      <c r="D772" s="306">
        <f t="shared" ca="1" si="327"/>
        <v>-0.50271131093338117</v>
      </c>
      <c r="E772" s="307">
        <f t="shared" ca="1" si="328"/>
        <v>-0.34284084834373552</v>
      </c>
      <c r="F772" s="304">
        <f t="shared" ca="1" si="329"/>
        <v>0.60848870937217137</v>
      </c>
      <c r="G772" s="306">
        <f t="shared" ca="1" si="330"/>
        <v>5.3329402218041926</v>
      </c>
      <c r="H772" s="307">
        <f t="shared" ca="1" si="331"/>
        <v>-100.4319693784971</v>
      </c>
      <c r="I772" s="304">
        <f t="shared" ca="1" si="332"/>
        <v>100.57345934516081</v>
      </c>
      <c r="J772" s="306">
        <f t="shared" ca="1" si="333"/>
        <v>711.72888807733182</v>
      </c>
      <c r="K772" s="307">
        <f t="shared" ca="1" si="334"/>
        <v>-10.992941294848045</v>
      </c>
      <c r="L772" s="304">
        <f t="shared" ref="L772:L835" ca="1" si="348">SQRT(pos_x^2+pos_z^2)</f>
        <v>711.81377823283742</v>
      </c>
      <c r="M772" s="306">
        <f t="shared" ca="1" si="335"/>
        <v>-1.5177461233403926</v>
      </c>
      <c r="N772" s="304">
        <f t="shared" ca="1" si="336"/>
        <v>-86.960447239746586</v>
      </c>
      <c r="P772" s="310">
        <f t="shared" ca="1" si="337"/>
        <v>23</v>
      </c>
      <c r="Q772" s="304">
        <f t="shared" ca="1" si="338"/>
        <v>0</v>
      </c>
      <c r="R772" s="306">
        <f t="shared" ca="1" si="339"/>
        <v>0</v>
      </c>
      <c r="S772" s="307">
        <f t="shared" ca="1" si="340"/>
        <v>2.6792999999999987</v>
      </c>
      <c r="T772" s="304">
        <f t="shared" ref="T772:T835" ca="1" si="349">m*g</f>
        <v>26.283932999999987</v>
      </c>
      <c r="U772" s="311">
        <f t="shared" ref="U772:U835" ca="1" si="350">IF(pos_xz&lt;L_rampe,Poids*COS(Beta),0)</f>
        <v>0</v>
      </c>
      <c r="V772" s="306">
        <f t="shared" ref="V772:V835" ca="1" si="351">Rho_moyen*(20000-Alt_rampe-pos_z)/(20000+Alt_rampe+pos_z)</f>
        <v>1.226347375889822</v>
      </c>
      <c r="W772" s="304">
        <f t="shared" ref="W772:W835" ca="1" si="352">1/2*Rho*Sref*Cx*vit_xz^2</f>
        <v>25.401136744564859</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0.31570182988807538</v>
      </c>
      <c r="AH772" s="304">
        <f t="shared" ca="1" si="347"/>
        <v>-9.4804968785886601</v>
      </c>
    </row>
    <row r="773" spans="1:34" x14ac:dyDescent="0.2">
      <c r="A773" s="347">
        <f t="shared" ref="A773:A836" ca="1" si="354">IF(B772+0.01&lt;=T_ini+ROUNDUP(Temps_fin_propu,0), 0.01, IF(K772&gt;0, 0.1, 0.0001))</f>
        <v>1E-4</v>
      </c>
      <c r="B773" s="304">
        <f t="shared" ref="B773:B836" ca="1" si="355">B772+pas</f>
        <v>36.625500000001054</v>
      </c>
      <c r="D773" s="306">
        <f t="shared" ref="D773:D836" ca="1" si="356">IF(AND(L772&lt;L_rampe,Poussee&lt;Poids*SIN(M772)),0,(-W772+Poussee)/m*COS(M772)-U772/m*SIN(M772))</f>
        <v>-0.50270723483301205</v>
      </c>
      <c r="E773" s="307">
        <f t="shared" ref="E773:E836" ca="1" si="357">IF(AND(L772&lt;L_rampe,Poussee&lt;Poids*SIN(M772)),0,(-W772+Poussee)/m*SIN(M772)+U772/m*COS(M772)-Poids/m)</f>
        <v>-0.3428251367465176</v>
      </c>
      <c r="F773" s="304">
        <f t="shared" ref="F773:F836" ca="1" si="358">SQRT(acc_x^2+acc_z^2)</f>
        <v>0.60847648955298317</v>
      </c>
      <c r="G773" s="306">
        <f t="shared" ref="G773:G836" ca="1" si="359">G772+acc_x*pas</f>
        <v>5.3328899510807091</v>
      </c>
      <c r="H773" s="307">
        <f t="shared" ref="H773:H836" ca="1" si="360">H772+acc_z*pas</f>
        <v>-100.43200366101078</v>
      </c>
      <c r="I773" s="304">
        <f t="shared" ref="I773:I836" ca="1" si="361">SQRT(vit_x^2+vit_z^2)</f>
        <v>100.57349091383684</v>
      </c>
      <c r="J773" s="306">
        <f t="shared" ref="J773:J836" ca="1" si="362">J772+0.5*(vit_x+G772)*pas*(K772&gt;=0)</f>
        <v>711.72888807733182</v>
      </c>
      <c r="K773" s="307">
        <f t="shared" ref="K773:K836" ca="1" si="363">K772+0.5*(vit_z+H772)*pas</f>
        <v>-11.002984493500021</v>
      </c>
      <c r="L773" s="304">
        <f t="shared" ca="1" si="348"/>
        <v>711.81393340644809</v>
      </c>
      <c r="M773" s="306">
        <f t="shared" ref="M773:M836" ca="1" si="364">IF(AND(L772&gt;L_rampe,G773&gt;0),ATAN2(G773,H773),$M$4)</f>
        <v>-1.5177466405526512</v>
      </c>
      <c r="N773" s="304">
        <f t="shared" ref="N773:N836" ca="1" si="365">DEGREES(Beta)</f>
        <v>-86.96047687382611</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2.6792999999999987</v>
      </c>
      <c r="T773" s="304">
        <f t="shared" ca="1" si="349"/>
        <v>26.283932999999987</v>
      </c>
      <c r="U773" s="311">
        <f t="shared" ca="1" si="350"/>
        <v>0</v>
      </c>
      <c r="V773" s="306">
        <f t="shared" ca="1" si="351"/>
        <v>1.2263486075358443</v>
      </c>
      <c r="W773" s="304">
        <f t="shared" ca="1" si="352"/>
        <v>25.401178201630518</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0.31568662557891791</v>
      </c>
      <c r="AH773" s="304">
        <f t="shared" ref="AH773:AH836" ca="1" si="376">IF(AND(L772&lt;L_rampe,Poussee&lt;Poids*SIN(M772)), g*SIN(M772), (-W772+Poussee)/m)</f>
        <v>-9.4805123519444905</v>
      </c>
    </row>
    <row r="774" spans="1:34" x14ac:dyDescent="0.2">
      <c r="A774" s="347">
        <f t="shared" ca="1" si="354"/>
        <v>1E-4</v>
      </c>
      <c r="B774" s="304">
        <f t="shared" ca="1" si="355"/>
        <v>36.625600000001057</v>
      </c>
      <c r="D774" s="306">
        <f t="shared" ca="1" si="356"/>
        <v>-0.50270315875197247</v>
      </c>
      <c r="E774" s="307">
        <f t="shared" ca="1" si="357"/>
        <v>-0.34280942541323256</v>
      </c>
      <c r="F774" s="304">
        <f t="shared" ca="1" si="358"/>
        <v>0.60846427008605974</v>
      </c>
      <c r="G774" s="306">
        <f t="shared" ca="1" si="359"/>
        <v>5.3328396807648337</v>
      </c>
      <c r="H774" s="307">
        <f t="shared" ca="1" si="360"/>
        <v>-100.43203794195333</v>
      </c>
      <c r="I774" s="304">
        <f t="shared" ca="1" si="361"/>
        <v>100.57352248099244</v>
      </c>
      <c r="J774" s="306">
        <f t="shared" ca="1" si="362"/>
        <v>711.72888807733182</v>
      </c>
      <c r="K774" s="307">
        <f t="shared" ca="1" si="363"/>
        <v>-11.013027695580169</v>
      </c>
      <c r="L774" s="304">
        <f t="shared" ca="1" si="348"/>
        <v>711.81408872178042</v>
      </c>
      <c r="M774" s="306">
        <f t="shared" ca="1" si="364"/>
        <v>-1.5177471577597097</v>
      </c>
      <c r="N774" s="304">
        <f t="shared" ca="1" si="365"/>
        <v>-86.960506507607704</v>
      </c>
      <c r="P774" s="310">
        <f t="shared" ca="1" si="366"/>
        <v>23</v>
      </c>
      <c r="Q774" s="304">
        <f t="shared" ca="1" si="367"/>
        <v>0</v>
      </c>
      <c r="R774" s="306">
        <f t="shared" ca="1" si="368"/>
        <v>0</v>
      </c>
      <c r="S774" s="307">
        <f t="shared" ca="1" si="369"/>
        <v>2.6792999999999987</v>
      </c>
      <c r="T774" s="304">
        <f t="shared" ca="1" si="349"/>
        <v>26.283932999999987</v>
      </c>
      <c r="U774" s="311">
        <f t="shared" ca="1" si="350"/>
        <v>0</v>
      </c>
      <c r="V774" s="306">
        <f t="shared" ca="1" si="351"/>
        <v>1.2263498391835241</v>
      </c>
      <c r="W774" s="304">
        <f t="shared" ca="1" si="352"/>
        <v>25.401219657999537</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0.31567142152443495</v>
      </c>
      <c r="AH774" s="304">
        <f t="shared" ca="1" si="376"/>
        <v>-9.4805278250403209</v>
      </c>
    </row>
    <row r="775" spans="1:34" x14ac:dyDescent="0.2">
      <c r="A775" s="347">
        <f t="shared" ca="1" si="354"/>
        <v>1E-4</v>
      </c>
      <c r="B775" s="304">
        <f t="shared" ca="1" si="355"/>
        <v>36.625700000001061</v>
      </c>
      <c r="D775" s="306">
        <f t="shared" ca="1" si="356"/>
        <v>-0.50269908269025843</v>
      </c>
      <c r="E775" s="307">
        <f t="shared" ca="1" si="357"/>
        <v>-0.3427937143438875</v>
      </c>
      <c r="F775" s="304">
        <f t="shared" ca="1" si="358"/>
        <v>0.60845205097140231</v>
      </c>
      <c r="G775" s="306">
        <f t="shared" ca="1" si="359"/>
        <v>5.3327894108565648</v>
      </c>
      <c r="H775" s="307">
        <f t="shared" ca="1" si="360"/>
        <v>-100.43207222132476</v>
      </c>
      <c r="I775" s="304">
        <f t="shared" ca="1" si="361"/>
        <v>100.57355404662768</v>
      </c>
      <c r="J775" s="306">
        <f t="shared" ca="1" si="362"/>
        <v>711.72888807733182</v>
      </c>
      <c r="K775" s="307">
        <f t="shared" ca="1" si="363"/>
        <v>-11.023070901088333</v>
      </c>
      <c r="L775" s="304">
        <f t="shared" ca="1" si="348"/>
        <v>711.81424417883454</v>
      </c>
      <c r="M775" s="306">
        <f t="shared" ca="1" si="364"/>
        <v>-1.5177476749615681</v>
      </c>
      <c r="N775" s="304">
        <f t="shared" ca="1" si="365"/>
        <v>-86.960536141091339</v>
      </c>
      <c r="P775" s="310">
        <f t="shared" ca="1" si="366"/>
        <v>23</v>
      </c>
      <c r="Q775" s="304">
        <f t="shared" ca="1" si="367"/>
        <v>0</v>
      </c>
      <c r="R775" s="306">
        <f t="shared" ca="1" si="368"/>
        <v>0</v>
      </c>
      <c r="S775" s="307">
        <f t="shared" ca="1" si="369"/>
        <v>2.6792999999999987</v>
      </c>
      <c r="T775" s="304">
        <f t="shared" ca="1" si="349"/>
        <v>26.283932999999987</v>
      </c>
      <c r="U775" s="311">
        <f t="shared" ca="1" si="350"/>
        <v>0</v>
      </c>
      <c r="V775" s="306">
        <f t="shared" ca="1" si="351"/>
        <v>1.2263510708328622</v>
      </c>
      <c r="W775" s="304">
        <f t="shared" ca="1" si="352"/>
        <v>25.401261113671961</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0.31565621772463537</v>
      </c>
      <c r="AH775" s="304">
        <f t="shared" ca="1" si="376"/>
        <v>-9.4805432978761424</v>
      </c>
    </row>
    <row r="776" spans="1:34" x14ac:dyDescent="0.2">
      <c r="A776" s="347">
        <f t="shared" ca="1" si="354"/>
        <v>1E-4</v>
      </c>
      <c r="B776" s="304">
        <f t="shared" ca="1" si="355"/>
        <v>36.625800000001064</v>
      </c>
      <c r="D776" s="306">
        <f t="shared" ca="1" si="356"/>
        <v>-0.5026950066478717</v>
      </c>
      <c r="E776" s="307">
        <f t="shared" ca="1" si="357"/>
        <v>-0.34277800353846466</v>
      </c>
      <c r="F776" s="304">
        <f t="shared" ca="1" si="358"/>
        <v>0.60843983220900277</v>
      </c>
      <c r="G776" s="306">
        <f t="shared" ca="1" si="359"/>
        <v>5.3327391413558995</v>
      </c>
      <c r="H776" s="307">
        <f t="shared" ca="1" si="360"/>
        <v>-100.43210649912511</v>
      </c>
      <c r="I776" s="304">
        <f t="shared" ca="1" si="361"/>
        <v>100.57358561074254</v>
      </c>
      <c r="J776" s="306">
        <f t="shared" ca="1" si="362"/>
        <v>711.72888807733182</v>
      </c>
      <c r="K776" s="307">
        <f t="shared" ca="1" si="363"/>
        <v>-11.033114110024355</v>
      </c>
      <c r="L776" s="304">
        <f t="shared" ca="1" si="348"/>
        <v>711.81439977761056</v>
      </c>
      <c r="M776" s="306">
        <f t="shared" ca="1" si="364"/>
        <v>-1.5177481921582265</v>
      </c>
      <c r="N776" s="304">
        <f t="shared" ca="1" si="365"/>
        <v>-86.960565774277043</v>
      </c>
      <c r="P776" s="310">
        <f t="shared" ca="1" si="366"/>
        <v>23</v>
      </c>
      <c r="Q776" s="304">
        <f t="shared" ca="1" si="367"/>
        <v>0</v>
      </c>
      <c r="R776" s="306">
        <f t="shared" ca="1" si="368"/>
        <v>0</v>
      </c>
      <c r="S776" s="307">
        <f t="shared" ca="1" si="369"/>
        <v>2.6792999999999987</v>
      </c>
      <c r="T776" s="304">
        <f t="shared" ca="1" si="349"/>
        <v>26.283932999999987</v>
      </c>
      <c r="U776" s="311">
        <f t="shared" ca="1" si="350"/>
        <v>0</v>
      </c>
      <c r="V776" s="306">
        <f t="shared" ca="1" si="351"/>
        <v>1.226352302483859</v>
      </c>
      <c r="W776" s="304">
        <f t="shared" ca="1" si="352"/>
        <v>25.401302568647793</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0.31564101417949963</v>
      </c>
      <c r="AH776" s="304">
        <f t="shared" ca="1" si="376"/>
        <v>-9.4805587704519745</v>
      </c>
    </row>
    <row r="777" spans="1:34" x14ac:dyDescent="0.2">
      <c r="A777" s="347">
        <f t="shared" ca="1" si="354"/>
        <v>1E-4</v>
      </c>
      <c r="B777" s="304">
        <f t="shared" ca="1" si="355"/>
        <v>36.625900000001067</v>
      </c>
      <c r="D777" s="306">
        <f t="shared" ca="1" si="356"/>
        <v>-0.50269093062481274</v>
      </c>
      <c r="E777" s="307">
        <f t="shared" ca="1" si="357"/>
        <v>-0.34276229299696404</v>
      </c>
      <c r="F777" s="304">
        <f t="shared" ca="1" si="358"/>
        <v>0.60842761379886179</v>
      </c>
      <c r="G777" s="306">
        <f t="shared" ca="1" si="359"/>
        <v>5.3326888722628372</v>
      </c>
      <c r="H777" s="307">
        <f t="shared" ca="1" si="360"/>
        <v>-100.43214077535441</v>
      </c>
      <c r="I777" s="304">
        <f t="shared" ca="1" si="361"/>
        <v>100.57361717333707</v>
      </c>
      <c r="J777" s="306">
        <f t="shared" ca="1" si="362"/>
        <v>711.72888807733182</v>
      </c>
      <c r="K777" s="307">
        <f t="shared" ca="1" si="363"/>
        <v>-11.04315732238808</v>
      </c>
      <c r="L777" s="304">
        <f t="shared" ca="1" si="348"/>
        <v>711.81455551810836</v>
      </c>
      <c r="M777" s="306">
        <f t="shared" ca="1" si="364"/>
        <v>-1.5177487093496849</v>
      </c>
      <c r="N777" s="304">
        <f t="shared" ca="1" si="365"/>
        <v>-86.960595407164817</v>
      </c>
      <c r="P777" s="310">
        <f t="shared" ca="1" si="366"/>
        <v>23</v>
      </c>
      <c r="Q777" s="304">
        <f t="shared" ca="1" si="367"/>
        <v>0</v>
      </c>
      <c r="R777" s="306">
        <f t="shared" ca="1" si="368"/>
        <v>0</v>
      </c>
      <c r="S777" s="307">
        <f t="shared" ca="1" si="369"/>
        <v>2.6792999999999987</v>
      </c>
      <c r="T777" s="304">
        <f t="shared" ca="1" si="349"/>
        <v>26.283932999999987</v>
      </c>
      <c r="U777" s="311">
        <f t="shared" ca="1" si="350"/>
        <v>0</v>
      </c>
      <c r="V777" s="306">
        <f t="shared" ca="1" si="351"/>
        <v>1.2263535341365128</v>
      </c>
      <c r="W777" s="304">
        <f t="shared" ca="1" si="352"/>
        <v>25.401344022927006</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0.31562581088902952</v>
      </c>
      <c r="AH777" s="304">
        <f t="shared" ca="1" si="376"/>
        <v>-9.4805742427678155</v>
      </c>
    </row>
    <row r="778" spans="1:34" x14ac:dyDescent="0.2">
      <c r="A778" s="347">
        <f t="shared" ca="1" si="354"/>
        <v>1E-4</v>
      </c>
      <c r="B778" s="304">
        <f t="shared" ca="1" si="355"/>
        <v>36.626000000001071</v>
      </c>
      <c r="D778" s="306">
        <f t="shared" ca="1" si="356"/>
        <v>-0.50268685462108165</v>
      </c>
      <c r="E778" s="307">
        <f t="shared" ca="1" si="357"/>
        <v>-0.34274658271939806</v>
      </c>
      <c r="F778" s="304">
        <f t="shared" ca="1" si="358"/>
        <v>0.6084153957409868</v>
      </c>
      <c r="G778" s="306">
        <f t="shared" ca="1" si="359"/>
        <v>5.332638603577375</v>
      </c>
      <c r="H778" s="307">
        <f t="shared" ca="1" si="360"/>
        <v>-100.43217505001269</v>
      </c>
      <c r="I778" s="304">
        <f t="shared" ca="1" si="361"/>
        <v>100.57364873441131</v>
      </c>
      <c r="J778" s="306">
        <f t="shared" ca="1" si="362"/>
        <v>711.72888807733182</v>
      </c>
      <c r="K778" s="307">
        <f t="shared" ca="1" si="363"/>
        <v>-11.053200538179349</v>
      </c>
      <c r="L778" s="304">
        <f t="shared" ca="1" si="348"/>
        <v>711.81471140032806</v>
      </c>
      <c r="M778" s="306">
        <f t="shared" ca="1" si="364"/>
        <v>-1.5177492265359434</v>
      </c>
      <c r="N778" s="304">
        <f t="shared" ca="1" si="365"/>
        <v>-86.960625039754646</v>
      </c>
      <c r="P778" s="310">
        <f t="shared" ca="1" si="366"/>
        <v>23</v>
      </c>
      <c r="Q778" s="304">
        <f t="shared" ca="1" si="367"/>
        <v>0</v>
      </c>
      <c r="R778" s="306">
        <f t="shared" ca="1" si="368"/>
        <v>0</v>
      </c>
      <c r="S778" s="307">
        <f t="shared" ca="1" si="369"/>
        <v>2.6792999999999987</v>
      </c>
      <c r="T778" s="304">
        <f t="shared" ca="1" si="349"/>
        <v>26.283932999999987</v>
      </c>
      <c r="U778" s="311">
        <f t="shared" ca="1" si="350"/>
        <v>0</v>
      </c>
      <c r="V778" s="306">
        <f t="shared" ca="1" si="351"/>
        <v>1.2263547657908254</v>
      </c>
      <c r="W778" s="304">
        <f t="shared" ca="1" si="352"/>
        <v>25.401385476509653</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0.31561060785323569</v>
      </c>
      <c r="AH778" s="304">
        <f t="shared" ca="1" si="376"/>
        <v>-9.4805897148236546</v>
      </c>
    </row>
    <row r="779" spans="1:34" x14ac:dyDescent="0.2">
      <c r="A779" s="347">
        <f t="shared" ca="1" si="354"/>
        <v>1E-4</v>
      </c>
      <c r="B779" s="304">
        <f t="shared" ca="1" si="355"/>
        <v>36.626100000001074</v>
      </c>
      <c r="D779" s="306">
        <f t="shared" ca="1" si="356"/>
        <v>-0.50268277863667832</v>
      </c>
      <c r="E779" s="307">
        <f t="shared" ca="1" si="357"/>
        <v>-0.34273087270574365</v>
      </c>
      <c r="F779" s="304">
        <f t="shared" ca="1" si="358"/>
        <v>0.60840317803536526</v>
      </c>
      <c r="G779" s="306">
        <f t="shared" ca="1" si="359"/>
        <v>5.3325883352995112</v>
      </c>
      <c r="H779" s="307">
        <f t="shared" ca="1" si="360"/>
        <v>-100.43220932309995</v>
      </c>
      <c r="I779" s="304">
        <f t="shared" ca="1" si="361"/>
        <v>100.57368029396527</v>
      </c>
      <c r="J779" s="306">
        <f t="shared" ca="1" si="362"/>
        <v>711.72888807733182</v>
      </c>
      <c r="K779" s="307">
        <f t="shared" ca="1" si="363"/>
        <v>-11.063243757398004</v>
      </c>
      <c r="L779" s="304">
        <f t="shared" ca="1" si="348"/>
        <v>711.81486742426978</v>
      </c>
      <c r="M779" s="306">
        <f t="shared" ca="1" si="364"/>
        <v>-1.517749743717002</v>
      </c>
      <c r="N779" s="304">
        <f t="shared" ca="1" si="365"/>
        <v>-86.960654672046545</v>
      </c>
      <c r="P779" s="310">
        <f t="shared" ca="1" si="366"/>
        <v>23</v>
      </c>
      <c r="Q779" s="304">
        <f t="shared" ca="1" si="367"/>
        <v>0</v>
      </c>
      <c r="R779" s="306">
        <f t="shared" ca="1" si="368"/>
        <v>0</v>
      </c>
      <c r="S779" s="307">
        <f t="shared" ca="1" si="369"/>
        <v>2.6792999999999987</v>
      </c>
      <c r="T779" s="304">
        <f t="shared" ca="1" si="349"/>
        <v>26.283932999999987</v>
      </c>
      <c r="U779" s="311">
        <f t="shared" ca="1" si="350"/>
        <v>0</v>
      </c>
      <c r="V779" s="306">
        <f t="shared" ca="1" si="351"/>
        <v>1.2263559974467959</v>
      </c>
      <c r="W779" s="304">
        <f t="shared" ca="1" si="352"/>
        <v>25.401426929395733</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0.31559540507209682</v>
      </c>
      <c r="AH779" s="304">
        <f t="shared" ca="1" si="376"/>
        <v>-9.4806051866195151</v>
      </c>
    </row>
    <row r="780" spans="1:34" x14ac:dyDescent="0.2">
      <c r="A780" s="347">
        <f t="shared" ca="1" si="354"/>
        <v>1E-4</v>
      </c>
      <c r="B780" s="304">
        <f t="shared" ca="1" si="355"/>
        <v>36.626200000001077</v>
      </c>
      <c r="D780" s="306">
        <f t="shared" ca="1" si="356"/>
        <v>-0.50267870267160297</v>
      </c>
      <c r="E780" s="307">
        <f t="shared" ca="1" si="357"/>
        <v>-0.34271516295600257</v>
      </c>
      <c r="F780" s="304">
        <f t="shared" ca="1" si="358"/>
        <v>0.6083909606819986</v>
      </c>
      <c r="G780" s="306">
        <f t="shared" ca="1" si="359"/>
        <v>5.332538067429244</v>
      </c>
      <c r="H780" s="307">
        <f t="shared" ca="1" si="360"/>
        <v>-100.43224359461625</v>
      </c>
      <c r="I780" s="304">
        <f t="shared" ca="1" si="361"/>
        <v>100.57371185199898</v>
      </c>
      <c r="J780" s="306">
        <f t="shared" ca="1" si="362"/>
        <v>711.72888807733182</v>
      </c>
      <c r="K780" s="307">
        <f t="shared" ca="1" si="363"/>
        <v>-11.073286980043889</v>
      </c>
      <c r="L780" s="304">
        <f t="shared" ca="1" si="348"/>
        <v>711.8150235899335</v>
      </c>
      <c r="M780" s="306">
        <f t="shared" ca="1" si="364"/>
        <v>-1.5177502608928608</v>
      </c>
      <c r="N780" s="304">
        <f t="shared" ca="1" si="365"/>
        <v>-86.960684304040527</v>
      </c>
      <c r="P780" s="310">
        <f t="shared" ca="1" si="366"/>
        <v>23</v>
      </c>
      <c r="Q780" s="304">
        <f t="shared" ca="1" si="367"/>
        <v>0</v>
      </c>
      <c r="R780" s="306">
        <f t="shared" ca="1" si="368"/>
        <v>0</v>
      </c>
      <c r="S780" s="307">
        <f t="shared" ca="1" si="369"/>
        <v>2.6792999999999987</v>
      </c>
      <c r="T780" s="304">
        <f t="shared" ca="1" si="349"/>
        <v>26.283932999999987</v>
      </c>
      <c r="U780" s="311">
        <f t="shared" ca="1" si="350"/>
        <v>0</v>
      </c>
      <c r="V780" s="306">
        <f t="shared" ca="1" si="351"/>
        <v>1.226357229104424</v>
      </c>
      <c r="W780" s="304">
        <f t="shared" ca="1" si="352"/>
        <v>25.40146838158525</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0.3155802025456147</v>
      </c>
      <c r="AH780" s="304">
        <f t="shared" ca="1" si="376"/>
        <v>-9.4806206581553933</v>
      </c>
    </row>
    <row r="781" spans="1:34" x14ac:dyDescent="0.2">
      <c r="A781" s="347">
        <f t="shared" ca="1" si="354"/>
        <v>1E-4</v>
      </c>
      <c r="B781" s="304">
        <f t="shared" ca="1" si="355"/>
        <v>36.626300000001081</v>
      </c>
      <c r="D781" s="306">
        <f t="shared" ca="1" si="356"/>
        <v>-0.50267462672585672</v>
      </c>
      <c r="E781" s="307">
        <f t="shared" ca="1" si="357"/>
        <v>-0.34269945347017305</v>
      </c>
      <c r="F781" s="304">
        <f t="shared" ca="1" si="358"/>
        <v>0.60837874368088718</v>
      </c>
      <c r="G781" s="306">
        <f t="shared" ca="1" si="359"/>
        <v>5.3324877999665716</v>
      </c>
      <c r="H781" s="307">
        <f t="shared" ca="1" si="360"/>
        <v>-100.4322778645616</v>
      </c>
      <c r="I781" s="304">
        <f t="shared" ca="1" si="361"/>
        <v>100.57374340851244</v>
      </c>
      <c r="J781" s="306">
        <f t="shared" ca="1" si="362"/>
        <v>711.72888807733182</v>
      </c>
      <c r="K781" s="307">
        <f t="shared" ca="1" si="363"/>
        <v>-11.083330206116848</v>
      </c>
      <c r="L781" s="304">
        <f t="shared" ca="1" si="348"/>
        <v>711.81517989731924</v>
      </c>
      <c r="M781" s="306">
        <f t="shared" ca="1" si="364"/>
        <v>-1.51775077806352</v>
      </c>
      <c r="N781" s="304">
        <f t="shared" ca="1" si="365"/>
        <v>-86.960713935736578</v>
      </c>
      <c r="P781" s="310">
        <f t="shared" ca="1" si="366"/>
        <v>23</v>
      </c>
      <c r="Q781" s="304">
        <f t="shared" ca="1" si="367"/>
        <v>0</v>
      </c>
      <c r="R781" s="306">
        <f t="shared" ca="1" si="368"/>
        <v>0</v>
      </c>
      <c r="S781" s="307">
        <f t="shared" ca="1" si="369"/>
        <v>2.6792999999999987</v>
      </c>
      <c r="T781" s="304">
        <f t="shared" ca="1" si="349"/>
        <v>26.283932999999987</v>
      </c>
      <c r="U781" s="311">
        <f t="shared" ca="1" si="350"/>
        <v>0</v>
      </c>
      <c r="V781" s="306">
        <f t="shared" ca="1" si="351"/>
        <v>1.2263584607637106</v>
      </c>
      <c r="W781" s="304">
        <f t="shared" ca="1" si="352"/>
        <v>25.401509833078208</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0.31556500027378576</v>
      </c>
      <c r="AH781" s="304">
        <f t="shared" ca="1" si="376"/>
        <v>-9.4806361294312929</v>
      </c>
    </row>
    <row r="782" spans="1:34" x14ac:dyDescent="0.2">
      <c r="A782" s="347">
        <f t="shared" ca="1" si="354"/>
        <v>1E-4</v>
      </c>
      <c r="B782" s="304">
        <f t="shared" ca="1" si="355"/>
        <v>36.626400000001084</v>
      </c>
      <c r="D782" s="306">
        <f t="shared" ca="1" si="356"/>
        <v>-0.50267055079943779</v>
      </c>
      <c r="E782" s="307">
        <f t="shared" ca="1" si="357"/>
        <v>-0.34268374424825154</v>
      </c>
      <c r="F782" s="304">
        <f t="shared" ca="1" si="358"/>
        <v>0.60836652703202798</v>
      </c>
      <c r="G782" s="306">
        <f t="shared" ca="1" si="359"/>
        <v>5.3324375329114915</v>
      </c>
      <c r="H782" s="307">
        <f t="shared" ca="1" si="360"/>
        <v>-100.43231213293602</v>
      </c>
      <c r="I782" s="304">
        <f t="shared" ca="1" si="361"/>
        <v>100.57377496350573</v>
      </c>
      <c r="J782" s="306">
        <f t="shared" ca="1" si="362"/>
        <v>711.72888807733182</v>
      </c>
      <c r="K782" s="307">
        <f t="shared" ca="1" si="363"/>
        <v>-11.093373435616723</v>
      </c>
      <c r="L782" s="304">
        <f t="shared" ca="1" si="348"/>
        <v>711.8153363464271</v>
      </c>
      <c r="M782" s="306">
        <f t="shared" ca="1" si="364"/>
        <v>-1.5177512952289793</v>
      </c>
      <c r="N782" s="304">
        <f t="shared" ca="1" si="365"/>
        <v>-86.960743567134713</v>
      </c>
      <c r="P782" s="310">
        <f t="shared" ca="1" si="366"/>
        <v>23</v>
      </c>
      <c r="Q782" s="304">
        <f t="shared" ca="1" si="367"/>
        <v>0</v>
      </c>
      <c r="R782" s="306">
        <f t="shared" ca="1" si="368"/>
        <v>0</v>
      </c>
      <c r="S782" s="307">
        <f t="shared" ca="1" si="369"/>
        <v>2.6792999999999987</v>
      </c>
      <c r="T782" s="304">
        <f t="shared" ca="1" si="349"/>
        <v>26.283932999999987</v>
      </c>
      <c r="U782" s="311">
        <f t="shared" ca="1" si="350"/>
        <v>0</v>
      </c>
      <c r="V782" s="306">
        <f t="shared" ca="1" si="351"/>
        <v>1.2263596924246543</v>
      </c>
      <c r="W782" s="304">
        <f t="shared" ca="1" si="352"/>
        <v>25.401551283874625</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0.31554979825661178</v>
      </c>
      <c r="AH782" s="304">
        <f t="shared" ca="1" si="376"/>
        <v>-9.4806516004472137</v>
      </c>
    </row>
    <row r="783" spans="1:34" x14ac:dyDescent="0.2">
      <c r="A783" s="347">
        <f t="shared" ca="1" si="354"/>
        <v>1E-4</v>
      </c>
      <c r="B783" s="304">
        <f t="shared" ca="1" si="355"/>
        <v>36.626500000001087</v>
      </c>
      <c r="D783" s="306">
        <f t="shared" ca="1" si="356"/>
        <v>-0.50266647489234983</v>
      </c>
      <c r="E783" s="307">
        <f t="shared" ca="1" si="357"/>
        <v>-0.34266803529023449</v>
      </c>
      <c r="F783" s="304">
        <f t="shared" ca="1" si="358"/>
        <v>0.60835431073542223</v>
      </c>
      <c r="G783" s="306">
        <f t="shared" ca="1" si="359"/>
        <v>5.3323872662640026</v>
      </c>
      <c r="H783" s="307">
        <f t="shared" ca="1" si="360"/>
        <v>-100.43234639973954</v>
      </c>
      <c r="I783" s="304">
        <f t="shared" ca="1" si="361"/>
        <v>100.57380651697882</v>
      </c>
      <c r="J783" s="306">
        <f t="shared" ca="1" si="362"/>
        <v>711.72888807733182</v>
      </c>
      <c r="K783" s="307">
        <f t="shared" ca="1" si="363"/>
        <v>-11.103416668543357</v>
      </c>
      <c r="L783" s="304">
        <f t="shared" ca="1" si="348"/>
        <v>711.8154929372572</v>
      </c>
      <c r="M783" s="306">
        <f t="shared" ca="1" si="364"/>
        <v>-1.5177518123892393</v>
      </c>
      <c r="N783" s="304">
        <f t="shared" ca="1" si="365"/>
        <v>-86.960773198234946</v>
      </c>
      <c r="P783" s="310">
        <f t="shared" ca="1" si="366"/>
        <v>23</v>
      </c>
      <c r="Q783" s="304">
        <f t="shared" ca="1" si="367"/>
        <v>0</v>
      </c>
      <c r="R783" s="306">
        <f t="shared" ca="1" si="368"/>
        <v>0</v>
      </c>
      <c r="S783" s="307">
        <f t="shared" ca="1" si="369"/>
        <v>2.6792999999999987</v>
      </c>
      <c r="T783" s="304">
        <f t="shared" ca="1" si="349"/>
        <v>26.283932999999987</v>
      </c>
      <c r="U783" s="311">
        <f t="shared" ca="1" si="350"/>
        <v>0</v>
      </c>
      <c r="V783" s="306">
        <f t="shared" ca="1" si="351"/>
        <v>1.2263609240872562</v>
      </c>
      <c r="W783" s="304">
        <f t="shared" ca="1" si="352"/>
        <v>25.401592733974496</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0.31553459649408033</v>
      </c>
      <c r="AH783" s="304">
        <f t="shared" ca="1" si="376"/>
        <v>-9.4806670712031647</v>
      </c>
    </row>
    <row r="784" spans="1:34" x14ac:dyDescent="0.2">
      <c r="A784" s="347">
        <f t="shared" ca="1" si="354"/>
        <v>1E-4</v>
      </c>
      <c r="B784" s="304">
        <f t="shared" ca="1" si="355"/>
        <v>36.626600000001091</v>
      </c>
      <c r="D784" s="306">
        <f t="shared" ca="1" si="356"/>
        <v>-0.50266239900458864</v>
      </c>
      <c r="E784" s="307">
        <f t="shared" ca="1" si="357"/>
        <v>-0.34265232659612188</v>
      </c>
      <c r="F784" s="304">
        <f t="shared" ca="1" si="358"/>
        <v>0.60834209479106705</v>
      </c>
      <c r="G784" s="306">
        <f t="shared" ca="1" si="359"/>
        <v>5.3323370000241024</v>
      </c>
      <c r="H784" s="307">
        <f t="shared" ca="1" si="360"/>
        <v>-100.4323806649722</v>
      </c>
      <c r="I784" s="304">
        <f t="shared" ca="1" si="361"/>
        <v>100.57383806893175</v>
      </c>
      <c r="J784" s="306">
        <f t="shared" ca="1" si="362"/>
        <v>711.72888807733182</v>
      </c>
      <c r="K784" s="307">
        <f t="shared" ca="1" si="363"/>
        <v>-11.113459904896592</v>
      </c>
      <c r="L784" s="304">
        <f t="shared" ca="1" si="348"/>
        <v>711.81564966980943</v>
      </c>
      <c r="M784" s="306">
        <f t="shared" ca="1" si="364"/>
        <v>-1.5177523295442996</v>
      </c>
      <c r="N784" s="304">
        <f t="shared" ca="1" si="365"/>
        <v>-86.960802829037249</v>
      </c>
      <c r="P784" s="310">
        <f t="shared" ca="1" si="366"/>
        <v>23</v>
      </c>
      <c r="Q784" s="304">
        <f t="shared" ca="1" si="367"/>
        <v>0</v>
      </c>
      <c r="R784" s="306">
        <f t="shared" ca="1" si="368"/>
        <v>0</v>
      </c>
      <c r="S784" s="307">
        <f t="shared" ca="1" si="369"/>
        <v>2.6792999999999987</v>
      </c>
      <c r="T784" s="304">
        <f t="shared" ca="1" si="349"/>
        <v>26.283932999999987</v>
      </c>
      <c r="U784" s="311">
        <f t="shared" ca="1" si="350"/>
        <v>0</v>
      </c>
      <c r="V784" s="306">
        <f t="shared" ca="1" si="351"/>
        <v>1.2263621557515163</v>
      </c>
      <c r="W784" s="304">
        <f t="shared" ca="1" si="352"/>
        <v>25.401634183377844</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0.31551939498620207</v>
      </c>
      <c r="AH784" s="304">
        <f t="shared" ca="1" si="376"/>
        <v>-9.4806825416991405</v>
      </c>
    </row>
    <row r="785" spans="1:34" x14ac:dyDescent="0.2">
      <c r="A785" s="347">
        <f t="shared" ca="1" si="354"/>
        <v>1E-4</v>
      </c>
      <c r="B785" s="304">
        <f t="shared" ca="1" si="355"/>
        <v>36.626700000001094</v>
      </c>
      <c r="D785" s="306">
        <f t="shared" ca="1" si="356"/>
        <v>-0.50265832313615766</v>
      </c>
      <c r="E785" s="307">
        <f t="shared" ca="1" si="357"/>
        <v>-0.34263661816590485</v>
      </c>
      <c r="F785" s="304">
        <f t="shared" ca="1" si="358"/>
        <v>0.60832987919896053</v>
      </c>
      <c r="G785" s="306">
        <f t="shared" ca="1" si="359"/>
        <v>5.332286734191789</v>
      </c>
      <c r="H785" s="307">
        <f t="shared" ca="1" si="360"/>
        <v>-100.43241492863402</v>
      </c>
      <c r="I785" s="304">
        <f t="shared" ca="1" si="361"/>
        <v>100.57386961936459</v>
      </c>
      <c r="J785" s="306">
        <f t="shared" ca="1" si="362"/>
        <v>711.72888807733182</v>
      </c>
      <c r="K785" s="307">
        <f t="shared" ca="1" si="363"/>
        <v>-11.123503144676272</v>
      </c>
      <c r="L785" s="304">
        <f t="shared" ca="1" si="348"/>
        <v>711.81580654408401</v>
      </c>
      <c r="M785" s="306">
        <f t="shared" ca="1" si="364"/>
        <v>-1.5177528466941603</v>
      </c>
      <c r="N785" s="304">
        <f t="shared" ca="1" si="365"/>
        <v>-86.960832459541649</v>
      </c>
      <c r="P785" s="310">
        <f t="shared" ca="1" si="366"/>
        <v>23</v>
      </c>
      <c r="Q785" s="304">
        <f t="shared" ca="1" si="367"/>
        <v>0</v>
      </c>
      <c r="R785" s="306">
        <f t="shared" ca="1" si="368"/>
        <v>0</v>
      </c>
      <c r="S785" s="307">
        <f t="shared" ca="1" si="369"/>
        <v>2.6792999999999987</v>
      </c>
      <c r="T785" s="304">
        <f t="shared" ca="1" si="349"/>
        <v>26.283932999999987</v>
      </c>
      <c r="U785" s="311">
        <f t="shared" ca="1" si="350"/>
        <v>0</v>
      </c>
      <c r="V785" s="306">
        <f t="shared" ca="1" si="351"/>
        <v>1.2263633874174344</v>
      </c>
      <c r="W785" s="304">
        <f t="shared" ca="1" si="352"/>
        <v>25.401675632084704</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0.31550419373296279</v>
      </c>
      <c r="AH785" s="304">
        <f t="shared" ca="1" si="376"/>
        <v>-9.4806980119351536</v>
      </c>
    </row>
    <row r="786" spans="1:34" x14ac:dyDescent="0.2">
      <c r="A786" s="347">
        <f t="shared" ca="1" si="354"/>
        <v>1E-4</v>
      </c>
      <c r="B786" s="304">
        <f t="shared" ca="1" si="355"/>
        <v>36.626800000001097</v>
      </c>
      <c r="D786" s="306">
        <f t="shared" ca="1" si="356"/>
        <v>-0.50265424728705832</v>
      </c>
      <c r="E786" s="307">
        <f t="shared" ca="1" si="357"/>
        <v>-0.34262090999957273</v>
      </c>
      <c r="F786" s="304">
        <f t="shared" ca="1" si="358"/>
        <v>0.60831766395909836</v>
      </c>
      <c r="G786" s="306">
        <f t="shared" ca="1" si="359"/>
        <v>5.3322364687670607</v>
      </c>
      <c r="H786" s="307">
        <f t="shared" ca="1" si="360"/>
        <v>-100.43244919072502</v>
      </c>
      <c r="I786" s="304">
        <f t="shared" ca="1" si="361"/>
        <v>100.57390116827732</v>
      </c>
      <c r="J786" s="306">
        <f t="shared" ca="1" si="362"/>
        <v>711.72888807733182</v>
      </c>
      <c r="K786" s="307">
        <f t="shared" ca="1" si="363"/>
        <v>-11.133546387882241</v>
      </c>
      <c r="L786" s="304">
        <f t="shared" ca="1" si="348"/>
        <v>711.81596356008083</v>
      </c>
      <c r="M786" s="306">
        <f t="shared" ca="1" si="364"/>
        <v>-1.5177533638388216</v>
      </c>
      <c r="N786" s="304">
        <f t="shared" ca="1" si="365"/>
        <v>-86.960862089748133</v>
      </c>
      <c r="P786" s="310">
        <f t="shared" ca="1" si="366"/>
        <v>23</v>
      </c>
      <c r="Q786" s="304">
        <f t="shared" ca="1" si="367"/>
        <v>0</v>
      </c>
      <c r="R786" s="306">
        <f t="shared" ca="1" si="368"/>
        <v>0</v>
      </c>
      <c r="S786" s="307">
        <f t="shared" ca="1" si="369"/>
        <v>2.6792999999999987</v>
      </c>
      <c r="T786" s="304">
        <f t="shared" ca="1" si="349"/>
        <v>26.283932999999987</v>
      </c>
      <c r="U786" s="311">
        <f t="shared" ca="1" si="350"/>
        <v>0</v>
      </c>
      <c r="V786" s="306">
        <f t="shared" ca="1" si="351"/>
        <v>1.2263646190850099</v>
      </c>
      <c r="W786" s="304">
        <f t="shared" ca="1" si="352"/>
        <v>25.40171708009504</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0.31548899273434827</v>
      </c>
      <c r="AH786" s="304">
        <f t="shared" ca="1" si="376"/>
        <v>-9.4807134819112147</v>
      </c>
    </row>
    <row r="787" spans="1:34" x14ac:dyDescent="0.2">
      <c r="A787" s="347">
        <f t="shared" ca="1" si="354"/>
        <v>1E-4</v>
      </c>
      <c r="B787" s="304">
        <f t="shared" ca="1" si="355"/>
        <v>36.6269000000011</v>
      </c>
      <c r="D787" s="306">
        <f t="shared" ca="1" si="356"/>
        <v>-0.50265017145728819</v>
      </c>
      <c r="E787" s="307">
        <f t="shared" ca="1" si="357"/>
        <v>-0.34260520209713619</v>
      </c>
      <c r="F787" s="304">
        <f t="shared" ca="1" si="358"/>
        <v>0.60830544907148476</v>
      </c>
      <c r="G787" s="306">
        <f t="shared" ca="1" si="359"/>
        <v>5.3321862037499148</v>
      </c>
      <c r="H787" s="307">
        <f t="shared" ca="1" si="360"/>
        <v>-100.43248345124523</v>
      </c>
      <c r="I787" s="304">
        <f t="shared" ca="1" si="361"/>
        <v>100.57393271566995</v>
      </c>
      <c r="J787" s="306">
        <f t="shared" ca="1" si="362"/>
        <v>711.72888807733182</v>
      </c>
      <c r="K787" s="307">
        <f t="shared" ca="1" si="363"/>
        <v>-11.14358963451434</v>
      </c>
      <c r="L787" s="304">
        <f t="shared" ca="1" si="348"/>
        <v>711.8161207178</v>
      </c>
      <c r="M787" s="306">
        <f t="shared" ca="1" si="364"/>
        <v>-1.5177538809782838</v>
      </c>
      <c r="N787" s="304">
        <f t="shared" ca="1" si="365"/>
        <v>-86.960891719656743</v>
      </c>
      <c r="P787" s="310">
        <f t="shared" ca="1" si="366"/>
        <v>23</v>
      </c>
      <c r="Q787" s="304">
        <f t="shared" ca="1" si="367"/>
        <v>0</v>
      </c>
      <c r="R787" s="306">
        <f t="shared" ca="1" si="368"/>
        <v>0</v>
      </c>
      <c r="S787" s="307">
        <f t="shared" ca="1" si="369"/>
        <v>2.6792999999999987</v>
      </c>
      <c r="T787" s="304">
        <f t="shared" ca="1" si="349"/>
        <v>26.283932999999987</v>
      </c>
      <c r="U787" s="311">
        <f t="shared" ca="1" si="350"/>
        <v>0</v>
      </c>
      <c r="V787" s="306">
        <f t="shared" ca="1" si="351"/>
        <v>1.2263658507542434</v>
      </c>
      <c r="W787" s="304">
        <f t="shared" ca="1" si="352"/>
        <v>25.401758527408884</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0.31547379199037806</v>
      </c>
      <c r="AH787" s="304">
        <f t="shared" ca="1" si="376"/>
        <v>-9.4807289516273094</v>
      </c>
    </row>
    <row r="788" spans="1:34" x14ac:dyDescent="0.2">
      <c r="A788" s="347">
        <f t="shared" ca="1" si="354"/>
        <v>1E-4</v>
      </c>
      <c r="B788" s="304">
        <f t="shared" ca="1" si="355"/>
        <v>36.627000000001104</v>
      </c>
      <c r="D788" s="306">
        <f t="shared" ca="1" si="356"/>
        <v>-0.50264609564684681</v>
      </c>
      <c r="E788" s="307">
        <f t="shared" ca="1" si="357"/>
        <v>-0.342589494458581</v>
      </c>
      <c r="F788" s="304">
        <f t="shared" ca="1" si="358"/>
        <v>0.60829323453611184</v>
      </c>
      <c r="G788" s="306">
        <f t="shared" ca="1" si="359"/>
        <v>5.3321359391403504</v>
      </c>
      <c r="H788" s="307">
        <f t="shared" ca="1" si="360"/>
        <v>-100.43251771019467</v>
      </c>
      <c r="I788" s="304">
        <f t="shared" ca="1" si="361"/>
        <v>100.57396426154256</v>
      </c>
      <c r="J788" s="306">
        <f t="shared" ca="1" si="362"/>
        <v>711.72888807733182</v>
      </c>
      <c r="K788" s="307">
        <f t="shared" ca="1" si="363"/>
        <v>-11.153632884572412</v>
      </c>
      <c r="L788" s="304">
        <f t="shared" ca="1" si="348"/>
        <v>711.81627801724153</v>
      </c>
      <c r="M788" s="306">
        <f t="shared" ca="1" si="364"/>
        <v>-1.5177543981125465</v>
      </c>
      <c r="N788" s="304">
        <f t="shared" ca="1" si="365"/>
        <v>-86.960921349267437</v>
      </c>
      <c r="P788" s="310">
        <f t="shared" ca="1" si="366"/>
        <v>23</v>
      </c>
      <c r="Q788" s="304">
        <f t="shared" ca="1" si="367"/>
        <v>0</v>
      </c>
      <c r="R788" s="306">
        <f t="shared" ca="1" si="368"/>
        <v>0</v>
      </c>
      <c r="S788" s="307">
        <f t="shared" ca="1" si="369"/>
        <v>2.6792999999999987</v>
      </c>
      <c r="T788" s="304">
        <f t="shared" ca="1" si="349"/>
        <v>26.283932999999987</v>
      </c>
      <c r="U788" s="311">
        <f t="shared" ca="1" si="350"/>
        <v>0</v>
      </c>
      <c r="V788" s="306">
        <f t="shared" ca="1" si="351"/>
        <v>1.2263670824251347</v>
      </c>
      <c r="W788" s="304">
        <f t="shared" ca="1" si="352"/>
        <v>25.401799974026236</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0.31545859150103439</v>
      </c>
      <c r="AH788" s="304">
        <f t="shared" ca="1" si="376"/>
        <v>-9.4807444210834539</v>
      </c>
    </row>
    <row r="789" spans="1:34" x14ac:dyDescent="0.2">
      <c r="A789" s="347">
        <f t="shared" ca="1" si="354"/>
        <v>1E-4</v>
      </c>
      <c r="B789" s="304">
        <f t="shared" ca="1" si="355"/>
        <v>36.627100000001107</v>
      </c>
      <c r="D789" s="306">
        <f t="shared" ca="1" si="356"/>
        <v>-0.50264201985573653</v>
      </c>
      <c r="E789" s="307">
        <f t="shared" ca="1" si="357"/>
        <v>-0.34257378708391428</v>
      </c>
      <c r="F789" s="304">
        <f t="shared" ca="1" si="358"/>
        <v>0.60828102035298592</v>
      </c>
      <c r="G789" s="306">
        <f t="shared" ca="1" si="359"/>
        <v>5.3320856749383649</v>
      </c>
      <c r="H789" s="307">
        <f t="shared" ca="1" si="360"/>
        <v>-100.43255196757339</v>
      </c>
      <c r="I789" s="304">
        <f t="shared" ca="1" si="361"/>
        <v>100.57399580589512</v>
      </c>
      <c r="J789" s="306">
        <f t="shared" ca="1" si="362"/>
        <v>711.72888807733182</v>
      </c>
      <c r="K789" s="307">
        <f t="shared" ca="1" si="363"/>
        <v>-11.163676138056299</v>
      </c>
      <c r="L789" s="304">
        <f t="shared" ca="1" si="348"/>
        <v>711.81643545840564</v>
      </c>
      <c r="M789" s="306">
        <f t="shared" ca="1" si="364"/>
        <v>-1.5177549152416101</v>
      </c>
      <c r="N789" s="304">
        <f t="shared" ca="1" si="365"/>
        <v>-86.960950978580243</v>
      </c>
      <c r="P789" s="310">
        <f t="shared" ca="1" si="366"/>
        <v>23</v>
      </c>
      <c r="Q789" s="304">
        <f t="shared" ca="1" si="367"/>
        <v>0</v>
      </c>
      <c r="R789" s="306">
        <f t="shared" ca="1" si="368"/>
        <v>0</v>
      </c>
      <c r="S789" s="307">
        <f t="shared" ca="1" si="369"/>
        <v>2.6792999999999987</v>
      </c>
      <c r="T789" s="304">
        <f t="shared" ca="1" si="349"/>
        <v>26.283932999999987</v>
      </c>
      <c r="U789" s="311">
        <f t="shared" ca="1" si="350"/>
        <v>0</v>
      </c>
      <c r="V789" s="306">
        <f t="shared" ca="1" si="351"/>
        <v>1.2263683140976842</v>
      </c>
      <c r="W789" s="304">
        <f t="shared" ca="1" si="352"/>
        <v>25.401841419947122</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0.31544339126632082</v>
      </c>
      <c r="AH789" s="304">
        <f t="shared" ca="1" si="376"/>
        <v>-9.4807598902796428</v>
      </c>
    </row>
    <row r="790" spans="1:34" x14ac:dyDescent="0.2">
      <c r="A790" s="347">
        <f t="shared" ca="1" si="354"/>
        <v>1E-4</v>
      </c>
      <c r="B790" s="304">
        <f t="shared" ca="1" si="355"/>
        <v>36.62720000000111</v>
      </c>
      <c r="D790" s="306">
        <f t="shared" ca="1" si="356"/>
        <v>-0.50263794408395679</v>
      </c>
      <c r="E790" s="307">
        <f t="shared" ca="1" si="357"/>
        <v>-0.34255807997312182</v>
      </c>
      <c r="F790" s="304">
        <f t="shared" ca="1" si="358"/>
        <v>0.60826880652209891</v>
      </c>
      <c r="G790" s="306">
        <f t="shared" ca="1" si="359"/>
        <v>5.3320354111439565</v>
      </c>
      <c r="H790" s="307">
        <f t="shared" ca="1" si="360"/>
        <v>-100.43258622338139</v>
      </c>
      <c r="I790" s="304">
        <f t="shared" ca="1" si="361"/>
        <v>100.57402734872771</v>
      </c>
      <c r="J790" s="306">
        <f t="shared" ca="1" si="362"/>
        <v>711.72888807733182</v>
      </c>
      <c r="K790" s="307">
        <f t="shared" ca="1" si="363"/>
        <v>-11.173719394965847</v>
      </c>
      <c r="L790" s="304">
        <f t="shared" ca="1" si="348"/>
        <v>711.81659304129221</v>
      </c>
      <c r="M790" s="306">
        <f t="shared" ca="1" si="364"/>
        <v>-1.5177554323654743</v>
      </c>
      <c r="N790" s="304">
        <f t="shared" ca="1" si="365"/>
        <v>-86.960980607595147</v>
      </c>
      <c r="P790" s="310">
        <f t="shared" ca="1" si="366"/>
        <v>23</v>
      </c>
      <c r="Q790" s="304">
        <f t="shared" ca="1" si="367"/>
        <v>0</v>
      </c>
      <c r="R790" s="306">
        <f t="shared" ca="1" si="368"/>
        <v>0</v>
      </c>
      <c r="S790" s="307">
        <f t="shared" ca="1" si="369"/>
        <v>2.6792999999999987</v>
      </c>
      <c r="T790" s="304">
        <f t="shared" ca="1" si="349"/>
        <v>26.283932999999987</v>
      </c>
      <c r="U790" s="311">
        <f t="shared" ca="1" si="350"/>
        <v>0</v>
      </c>
      <c r="V790" s="306">
        <f t="shared" ca="1" si="351"/>
        <v>1.2263695457718913</v>
      </c>
      <c r="W790" s="304">
        <f t="shared" ca="1" si="352"/>
        <v>25.40188286517154</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0.31542819128622668</v>
      </c>
      <c r="AH790" s="304">
        <f t="shared" ca="1" si="376"/>
        <v>-9.4807753592158903</v>
      </c>
    </row>
    <row r="791" spans="1:34" x14ac:dyDescent="0.2">
      <c r="A791" s="347">
        <f t="shared" ca="1" si="354"/>
        <v>1E-4</v>
      </c>
      <c r="B791" s="304">
        <f t="shared" ca="1" si="355"/>
        <v>36.627300000001114</v>
      </c>
      <c r="D791" s="306">
        <f t="shared" ca="1" si="356"/>
        <v>-0.50263386833151003</v>
      </c>
      <c r="E791" s="307">
        <f t="shared" ca="1" si="357"/>
        <v>-0.34254237312620361</v>
      </c>
      <c r="F791" s="304">
        <f t="shared" ca="1" si="358"/>
        <v>0.60825659304345314</v>
      </c>
      <c r="G791" s="306">
        <f t="shared" ca="1" si="359"/>
        <v>5.3319851477571234</v>
      </c>
      <c r="H791" s="307">
        <f t="shared" ca="1" si="360"/>
        <v>-100.4326204776187</v>
      </c>
      <c r="I791" s="304">
        <f t="shared" ca="1" si="361"/>
        <v>100.57405889004032</v>
      </c>
      <c r="J791" s="306">
        <f t="shared" ca="1" si="362"/>
        <v>711.72888807733182</v>
      </c>
      <c r="K791" s="307">
        <f t="shared" ca="1" si="363"/>
        <v>-11.183762655300898</v>
      </c>
      <c r="L791" s="304">
        <f t="shared" ca="1" si="348"/>
        <v>711.81675076590136</v>
      </c>
      <c r="M791" s="306">
        <f t="shared" ca="1" si="364"/>
        <v>-1.5177559494841395</v>
      </c>
      <c r="N791" s="304">
        <f t="shared" ca="1" si="365"/>
        <v>-86.961010236312163</v>
      </c>
      <c r="P791" s="310">
        <f t="shared" ca="1" si="366"/>
        <v>23</v>
      </c>
      <c r="Q791" s="304">
        <f t="shared" ca="1" si="367"/>
        <v>0</v>
      </c>
      <c r="R791" s="306">
        <f t="shared" ca="1" si="368"/>
        <v>0</v>
      </c>
      <c r="S791" s="307">
        <f t="shared" ca="1" si="369"/>
        <v>2.6792999999999987</v>
      </c>
      <c r="T791" s="304">
        <f t="shared" ca="1" si="349"/>
        <v>26.283932999999987</v>
      </c>
      <c r="U791" s="311">
        <f t="shared" ca="1" si="350"/>
        <v>0</v>
      </c>
      <c r="V791" s="306">
        <f t="shared" ca="1" si="351"/>
        <v>1.2263707774477561</v>
      </c>
      <c r="W791" s="304">
        <f t="shared" ca="1" si="352"/>
        <v>25.401924309699496</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0.31541299156075198</v>
      </c>
      <c r="AH791" s="304">
        <f t="shared" ca="1" si="376"/>
        <v>-9.4807908278921929</v>
      </c>
    </row>
    <row r="792" spans="1:34" x14ac:dyDescent="0.2">
      <c r="A792" s="347">
        <f t="shared" ca="1" si="354"/>
        <v>1E-4</v>
      </c>
      <c r="B792" s="304">
        <f t="shared" ca="1" si="355"/>
        <v>36.627400000001117</v>
      </c>
      <c r="D792" s="306">
        <f t="shared" ca="1" si="356"/>
        <v>-0.50262979259839302</v>
      </c>
      <c r="E792" s="307">
        <f t="shared" ca="1" si="357"/>
        <v>-0.34252666654315789</v>
      </c>
      <c r="F792" s="304">
        <f t="shared" ca="1" si="358"/>
        <v>0.60824437991704561</v>
      </c>
      <c r="G792" s="306">
        <f t="shared" ca="1" si="359"/>
        <v>5.3319348847778638</v>
      </c>
      <c r="H792" s="307">
        <f t="shared" ca="1" si="360"/>
        <v>-100.43265473028535</v>
      </c>
      <c r="I792" s="304">
        <f t="shared" ca="1" si="361"/>
        <v>100.57409042983296</v>
      </c>
      <c r="J792" s="306">
        <f t="shared" ca="1" si="362"/>
        <v>711.72888807733182</v>
      </c>
      <c r="K792" s="307">
        <f t="shared" ca="1" si="363"/>
        <v>-11.193805919061292</v>
      </c>
      <c r="L792" s="304">
        <f t="shared" ca="1" si="348"/>
        <v>711.81690863223298</v>
      </c>
      <c r="M792" s="306">
        <f t="shared" ca="1" si="364"/>
        <v>-1.5177564665976058</v>
      </c>
      <c r="N792" s="304">
        <f t="shared" ca="1" si="365"/>
        <v>-86.961039864731319</v>
      </c>
      <c r="P792" s="310">
        <f t="shared" ca="1" si="366"/>
        <v>23</v>
      </c>
      <c r="Q792" s="304">
        <f t="shared" ca="1" si="367"/>
        <v>0</v>
      </c>
      <c r="R792" s="306">
        <f t="shared" ca="1" si="368"/>
        <v>0</v>
      </c>
      <c r="S792" s="307">
        <f t="shared" ca="1" si="369"/>
        <v>2.6792999999999987</v>
      </c>
      <c r="T792" s="304">
        <f t="shared" ca="1" si="349"/>
        <v>26.283932999999987</v>
      </c>
      <c r="U792" s="311">
        <f t="shared" ca="1" si="350"/>
        <v>0</v>
      </c>
      <c r="V792" s="306">
        <f t="shared" ca="1" si="351"/>
        <v>1.2263720091252786</v>
      </c>
      <c r="W792" s="304">
        <f t="shared" ca="1" si="352"/>
        <v>25.401965753531005</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0.31539779208989671</v>
      </c>
      <c r="AH792" s="304">
        <f t="shared" ca="1" si="376"/>
        <v>-9.480806296308554</v>
      </c>
    </row>
    <row r="793" spans="1:34" x14ac:dyDescent="0.2">
      <c r="A793" s="347">
        <f t="shared" ca="1" si="354"/>
        <v>1E-4</v>
      </c>
      <c r="B793" s="304">
        <f t="shared" ca="1" si="355"/>
        <v>36.62750000000112</v>
      </c>
      <c r="D793" s="306">
        <f t="shared" ca="1" si="356"/>
        <v>-0.50262571688460655</v>
      </c>
      <c r="E793" s="307">
        <f t="shared" ca="1" si="357"/>
        <v>-0.34251096022398109</v>
      </c>
      <c r="F793" s="304">
        <f t="shared" ca="1" si="358"/>
        <v>0.60823216714287498</v>
      </c>
      <c r="G793" s="306">
        <f t="shared" ca="1" si="359"/>
        <v>5.3318846222061751</v>
      </c>
      <c r="H793" s="307">
        <f t="shared" ca="1" si="360"/>
        <v>-100.43268898138138</v>
      </c>
      <c r="I793" s="304">
        <f t="shared" ca="1" si="361"/>
        <v>100.5741219681057</v>
      </c>
      <c r="J793" s="306">
        <f t="shared" ca="1" si="362"/>
        <v>711.72888807733182</v>
      </c>
      <c r="K793" s="307">
        <f t="shared" ca="1" si="363"/>
        <v>-11.203849186246876</v>
      </c>
      <c r="L793" s="304">
        <f t="shared" ca="1" si="348"/>
        <v>711.81706664028741</v>
      </c>
      <c r="M793" s="306">
        <f t="shared" ca="1" si="364"/>
        <v>-1.5177569837058729</v>
      </c>
      <c r="N793" s="304">
        <f t="shared" ca="1" si="365"/>
        <v>-86.961069492852573</v>
      </c>
      <c r="P793" s="310">
        <f t="shared" ca="1" si="366"/>
        <v>23</v>
      </c>
      <c r="Q793" s="304">
        <f t="shared" ca="1" si="367"/>
        <v>0</v>
      </c>
      <c r="R793" s="306">
        <f t="shared" ca="1" si="368"/>
        <v>0</v>
      </c>
      <c r="S793" s="307">
        <f t="shared" ca="1" si="369"/>
        <v>2.6792999999999987</v>
      </c>
      <c r="T793" s="304">
        <f t="shared" ca="1" si="349"/>
        <v>26.283932999999987</v>
      </c>
      <c r="U793" s="311">
        <f t="shared" ca="1" si="350"/>
        <v>0</v>
      </c>
      <c r="V793" s="306">
        <f t="shared" ca="1" si="351"/>
        <v>1.226373240804459</v>
      </c>
      <c r="W793" s="304">
        <f t="shared" ca="1" si="352"/>
        <v>25.402007196666069</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0.315382592873652</v>
      </c>
      <c r="AH793" s="304">
        <f t="shared" ca="1" si="376"/>
        <v>-9.480821764464979</v>
      </c>
    </row>
    <row r="794" spans="1:34" x14ac:dyDescent="0.2">
      <c r="A794" s="347">
        <f t="shared" ca="1" si="354"/>
        <v>1E-4</v>
      </c>
      <c r="B794" s="304">
        <f t="shared" ca="1" si="355"/>
        <v>36.627600000001124</v>
      </c>
      <c r="D794" s="306">
        <f t="shared" ca="1" si="356"/>
        <v>-0.5026216411901534</v>
      </c>
      <c r="E794" s="307">
        <f t="shared" ca="1" si="357"/>
        <v>-0.34249525416866966</v>
      </c>
      <c r="F794" s="304">
        <f t="shared" ca="1" si="358"/>
        <v>0.60821995472094215</v>
      </c>
      <c r="G794" s="306">
        <f t="shared" ca="1" si="359"/>
        <v>5.3318343600420564</v>
      </c>
      <c r="H794" s="307">
        <f t="shared" ca="1" si="360"/>
        <v>-100.43272323090679</v>
      </c>
      <c r="I794" s="304">
        <f t="shared" ca="1" si="361"/>
        <v>100.57415350485854</v>
      </c>
      <c r="J794" s="306">
        <f t="shared" ca="1" si="362"/>
        <v>711.72888807733182</v>
      </c>
      <c r="K794" s="307">
        <f t="shared" ca="1" si="363"/>
        <v>-11.21389245685749</v>
      </c>
      <c r="L794" s="304">
        <f t="shared" ca="1" si="348"/>
        <v>711.81722479006442</v>
      </c>
      <c r="M794" s="306">
        <f t="shared" ca="1" si="364"/>
        <v>-1.5177575008089412</v>
      </c>
      <c r="N794" s="304">
        <f t="shared" ca="1" si="365"/>
        <v>-86.961099120675968</v>
      </c>
      <c r="P794" s="310">
        <f t="shared" ca="1" si="366"/>
        <v>23</v>
      </c>
      <c r="Q794" s="304">
        <f t="shared" ca="1" si="367"/>
        <v>0</v>
      </c>
      <c r="R794" s="306">
        <f t="shared" ca="1" si="368"/>
        <v>0</v>
      </c>
      <c r="S794" s="307">
        <f t="shared" ca="1" si="369"/>
        <v>2.6792999999999987</v>
      </c>
      <c r="T794" s="304">
        <f t="shared" ca="1" si="349"/>
        <v>26.283932999999987</v>
      </c>
      <c r="U794" s="311">
        <f t="shared" ca="1" si="350"/>
        <v>0</v>
      </c>
      <c r="V794" s="306">
        <f t="shared" ca="1" si="351"/>
        <v>1.226374472485297</v>
      </c>
      <c r="W794" s="304">
        <f t="shared" ca="1" si="352"/>
        <v>25.402048639104713</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0.3153673939120214</v>
      </c>
      <c r="AH794" s="304">
        <f t="shared" ca="1" si="376"/>
        <v>-9.480837232361468</v>
      </c>
    </row>
    <row r="795" spans="1:34" x14ac:dyDescent="0.2">
      <c r="A795" s="347">
        <f t="shared" ca="1" si="354"/>
        <v>1E-4</v>
      </c>
      <c r="B795" s="304">
        <f t="shared" ca="1" si="355"/>
        <v>36.627700000001127</v>
      </c>
      <c r="D795" s="306">
        <f t="shared" ca="1" si="356"/>
        <v>-0.50261756551503056</v>
      </c>
      <c r="E795" s="307">
        <f t="shared" ca="1" si="357"/>
        <v>-0.34247954837721473</v>
      </c>
      <c r="F795" s="304">
        <f t="shared" ca="1" si="358"/>
        <v>0.60820774265124</v>
      </c>
      <c r="G795" s="306">
        <f t="shared" ca="1" si="359"/>
        <v>5.3317840982855049</v>
      </c>
      <c r="H795" s="307">
        <f t="shared" ca="1" si="360"/>
        <v>-100.43275747886163</v>
      </c>
      <c r="I795" s="304">
        <f t="shared" ca="1" si="361"/>
        <v>100.57418504009151</v>
      </c>
      <c r="J795" s="306">
        <f t="shared" ca="1" si="362"/>
        <v>711.72888807733182</v>
      </c>
      <c r="K795" s="307">
        <f t="shared" ca="1" si="363"/>
        <v>-11.223935730892979</v>
      </c>
      <c r="L795" s="304">
        <f t="shared" ca="1" si="348"/>
        <v>711.81738308156423</v>
      </c>
      <c r="M795" s="306">
        <f t="shared" ca="1" si="364"/>
        <v>-1.5177580179068106</v>
      </c>
      <c r="N795" s="304">
        <f t="shared" ca="1" si="365"/>
        <v>-86.961128748201475</v>
      </c>
      <c r="P795" s="310">
        <f t="shared" ca="1" si="366"/>
        <v>23</v>
      </c>
      <c r="Q795" s="304">
        <f t="shared" ca="1" si="367"/>
        <v>0</v>
      </c>
      <c r="R795" s="306">
        <f t="shared" ca="1" si="368"/>
        <v>0</v>
      </c>
      <c r="S795" s="307">
        <f t="shared" ca="1" si="369"/>
        <v>2.6792999999999987</v>
      </c>
      <c r="T795" s="304">
        <f t="shared" ca="1" si="349"/>
        <v>26.283932999999987</v>
      </c>
      <c r="U795" s="311">
        <f t="shared" ca="1" si="350"/>
        <v>0</v>
      </c>
      <c r="V795" s="306">
        <f t="shared" ca="1" si="351"/>
        <v>1.2263757041677927</v>
      </c>
      <c r="W795" s="304">
        <f t="shared" ca="1" si="352"/>
        <v>25.402090080846936</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0.31535219520499247</v>
      </c>
      <c r="AH795" s="304">
        <f t="shared" ca="1" si="376"/>
        <v>-9.4808526999980316</v>
      </c>
    </row>
    <row r="796" spans="1:34" x14ac:dyDescent="0.2">
      <c r="A796" s="347">
        <f t="shared" ca="1" si="354"/>
        <v>1E-4</v>
      </c>
      <c r="B796" s="304">
        <f t="shared" ca="1" si="355"/>
        <v>36.62780000000113</v>
      </c>
      <c r="D796" s="306">
        <f t="shared" ca="1" si="356"/>
        <v>-0.50261348985924081</v>
      </c>
      <c r="E796" s="307">
        <f t="shared" ca="1" si="357"/>
        <v>-0.34246384284961984</v>
      </c>
      <c r="F796" s="304">
        <f t="shared" ca="1" si="358"/>
        <v>0.60819553093377321</v>
      </c>
      <c r="G796" s="306">
        <f t="shared" ca="1" si="359"/>
        <v>5.331733836936519</v>
      </c>
      <c r="H796" s="307">
        <f t="shared" ca="1" si="360"/>
        <v>-100.43279172524592</v>
      </c>
      <c r="I796" s="304">
        <f t="shared" ca="1" si="361"/>
        <v>100.57421657380463</v>
      </c>
      <c r="J796" s="306">
        <f t="shared" ca="1" si="362"/>
        <v>711.72888807733182</v>
      </c>
      <c r="K796" s="307">
        <f t="shared" ca="1" si="363"/>
        <v>-11.233979008353185</v>
      </c>
      <c r="L796" s="304">
        <f t="shared" ca="1" si="348"/>
        <v>711.81754151478685</v>
      </c>
      <c r="M796" s="306">
        <f t="shared" ca="1" si="364"/>
        <v>-1.5177585349994811</v>
      </c>
      <c r="N796" s="304">
        <f t="shared" ca="1" si="365"/>
        <v>-86.961158375429108</v>
      </c>
      <c r="P796" s="310">
        <f t="shared" ca="1" si="366"/>
        <v>23</v>
      </c>
      <c r="Q796" s="304">
        <f t="shared" ca="1" si="367"/>
        <v>0</v>
      </c>
      <c r="R796" s="306">
        <f t="shared" ca="1" si="368"/>
        <v>0</v>
      </c>
      <c r="S796" s="307">
        <f t="shared" ca="1" si="369"/>
        <v>2.6792999999999987</v>
      </c>
      <c r="T796" s="304">
        <f t="shared" ca="1" si="349"/>
        <v>26.283932999999987</v>
      </c>
      <c r="U796" s="311">
        <f t="shared" ca="1" si="350"/>
        <v>0</v>
      </c>
      <c r="V796" s="306">
        <f t="shared" ca="1" si="351"/>
        <v>1.2263769358519463</v>
      </c>
      <c r="W796" s="304">
        <f t="shared" ca="1" si="352"/>
        <v>25.402131521892755</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0.31533699675256699</v>
      </c>
      <c r="AH796" s="304">
        <f t="shared" ca="1" si="376"/>
        <v>-9.480868167374668</v>
      </c>
    </row>
    <row r="797" spans="1:34" x14ac:dyDescent="0.2">
      <c r="A797" s="347">
        <f t="shared" ca="1" si="354"/>
        <v>1E-4</v>
      </c>
      <c r="B797" s="304">
        <f t="shared" ca="1" si="355"/>
        <v>36.627900000001134</v>
      </c>
      <c r="D797" s="306">
        <f t="shared" ca="1" si="356"/>
        <v>-0.50260941422278504</v>
      </c>
      <c r="E797" s="307">
        <f t="shared" ca="1" si="357"/>
        <v>-0.34244813758587433</v>
      </c>
      <c r="F797" s="304">
        <f t="shared" ca="1" si="358"/>
        <v>0.60818331956853688</v>
      </c>
      <c r="G797" s="306">
        <f t="shared" ca="1" si="359"/>
        <v>5.3316835759950969</v>
      </c>
      <c r="H797" s="307">
        <f t="shared" ca="1" si="360"/>
        <v>-100.43282597005968</v>
      </c>
      <c r="I797" s="304">
        <f t="shared" ca="1" si="361"/>
        <v>100.57424810599795</v>
      </c>
      <c r="J797" s="306">
        <f t="shared" ca="1" si="362"/>
        <v>711.72888807733182</v>
      </c>
      <c r="K797" s="307">
        <f t="shared" ca="1" si="363"/>
        <v>-11.24402228923795</v>
      </c>
      <c r="L797" s="304">
        <f t="shared" ca="1" si="348"/>
        <v>711.81770008973228</v>
      </c>
      <c r="M797" s="306">
        <f t="shared" ca="1" si="364"/>
        <v>-1.5177590520869531</v>
      </c>
      <c r="N797" s="304">
        <f t="shared" ca="1" si="365"/>
        <v>-86.961188002358895</v>
      </c>
      <c r="P797" s="310">
        <f t="shared" ca="1" si="366"/>
        <v>23</v>
      </c>
      <c r="Q797" s="304">
        <f t="shared" ca="1" si="367"/>
        <v>0</v>
      </c>
      <c r="R797" s="306">
        <f t="shared" ca="1" si="368"/>
        <v>0</v>
      </c>
      <c r="S797" s="307">
        <f t="shared" ca="1" si="369"/>
        <v>2.6792999999999987</v>
      </c>
      <c r="T797" s="304">
        <f t="shared" ca="1" si="349"/>
        <v>26.283932999999987</v>
      </c>
      <c r="U797" s="311">
        <f t="shared" ca="1" si="350"/>
        <v>0</v>
      </c>
      <c r="V797" s="306">
        <f t="shared" ca="1" si="351"/>
        <v>1.2263781675377572</v>
      </c>
      <c r="W797" s="304">
        <f t="shared" ca="1" si="352"/>
        <v>25.402172962242172</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0.31532179855473963</v>
      </c>
      <c r="AH797" s="304">
        <f t="shared" ca="1" si="376"/>
        <v>-9.4808836344913843</v>
      </c>
    </row>
    <row r="798" spans="1:34" x14ac:dyDescent="0.2">
      <c r="A798" s="347">
        <f t="shared" ca="1" si="354"/>
        <v>1E-4</v>
      </c>
      <c r="B798" s="304">
        <f t="shared" ca="1" si="355"/>
        <v>36.628000000001137</v>
      </c>
      <c r="D798" s="306">
        <f t="shared" ca="1" si="356"/>
        <v>-0.50260533860565992</v>
      </c>
      <c r="E798" s="307">
        <f t="shared" ca="1" si="357"/>
        <v>-0.34243243258597822</v>
      </c>
      <c r="F798" s="304">
        <f t="shared" ca="1" si="358"/>
        <v>0.60817110855552858</v>
      </c>
      <c r="G798" s="306">
        <f t="shared" ca="1" si="359"/>
        <v>5.3316333154612368</v>
      </c>
      <c r="H798" s="307">
        <f t="shared" ca="1" si="360"/>
        <v>-100.43286021330294</v>
      </c>
      <c r="I798" s="304">
        <f t="shared" ca="1" si="361"/>
        <v>100.57427963667145</v>
      </c>
      <c r="J798" s="306">
        <f t="shared" ca="1" si="362"/>
        <v>711.72888807733182</v>
      </c>
      <c r="K798" s="307">
        <f t="shared" ca="1" si="363"/>
        <v>-11.254065573547118</v>
      </c>
      <c r="L798" s="304">
        <f t="shared" ca="1" si="348"/>
        <v>711.81785880640052</v>
      </c>
      <c r="M798" s="306">
        <f t="shared" ca="1" si="364"/>
        <v>-1.5177595691692263</v>
      </c>
      <c r="N798" s="304">
        <f t="shared" ca="1" si="365"/>
        <v>-86.961217628990809</v>
      </c>
      <c r="P798" s="310">
        <f t="shared" ca="1" si="366"/>
        <v>23</v>
      </c>
      <c r="Q798" s="304">
        <f t="shared" ca="1" si="367"/>
        <v>0</v>
      </c>
      <c r="R798" s="306">
        <f t="shared" ca="1" si="368"/>
        <v>0</v>
      </c>
      <c r="S798" s="307">
        <f t="shared" ca="1" si="369"/>
        <v>2.6792999999999987</v>
      </c>
      <c r="T798" s="304">
        <f t="shared" ca="1" si="349"/>
        <v>26.283932999999987</v>
      </c>
      <c r="U798" s="311">
        <f t="shared" ca="1" si="350"/>
        <v>0</v>
      </c>
      <c r="V798" s="306">
        <f t="shared" ca="1" si="351"/>
        <v>1.2263793992252263</v>
      </c>
      <c r="W798" s="304">
        <f t="shared" ca="1" si="352"/>
        <v>25.402214401895201</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0.31530660061150684</v>
      </c>
      <c r="AH798" s="304">
        <f t="shared" ca="1" si="376"/>
        <v>-9.4808991013481823</v>
      </c>
    </row>
    <row r="799" spans="1:34" x14ac:dyDescent="0.2">
      <c r="A799" s="347">
        <f t="shared" ca="1" si="354"/>
        <v>1E-4</v>
      </c>
      <c r="B799" s="304">
        <f t="shared" ca="1" si="355"/>
        <v>36.62810000000114</v>
      </c>
      <c r="D799" s="306">
        <f t="shared" ca="1" si="356"/>
        <v>-0.50260126300786812</v>
      </c>
      <c r="E799" s="307">
        <f t="shared" ca="1" si="357"/>
        <v>-0.34241672784992971</v>
      </c>
      <c r="F799" s="304">
        <f t="shared" ca="1" si="358"/>
        <v>0.60815889789475008</v>
      </c>
      <c r="G799" s="306">
        <f t="shared" ca="1" si="359"/>
        <v>5.3315830553349359</v>
      </c>
      <c r="H799" s="307">
        <f t="shared" ca="1" si="360"/>
        <v>-100.43289445497572</v>
      </c>
      <c r="I799" s="304">
        <f t="shared" ca="1" si="361"/>
        <v>100.57431116582518</v>
      </c>
      <c r="J799" s="306">
        <f t="shared" ca="1" si="362"/>
        <v>711.72888807733182</v>
      </c>
      <c r="K799" s="307">
        <f t="shared" ca="1" si="363"/>
        <v>-11.264108861280532</v>
      </c>
      <c r="L799" s="304">
        <f t="shared" ca="1" si="348"/>
        <v>711.8180176647918</v>
      </c>
      <c r="M799" s="306">
        <f t="shared" ca="1" si="364"/>
        <v>-1.5177600862463008</v>
      </c>
      <c r="N799" s="304">
        <f t="shared" ca="1" si="365"/>
        <v>-86.961247255324864</v>
      </c>
      <c r="P799" s="310">
        <f t="shared" ca="1" si="366"/>
        <v>23</v>
      </c>
      <c r="Q799" s="304">
        <f t="shared" ca="1" si="367"/>
        <v>0</v>
      </c>
      <c r="R799" s="306">
        <f t="shared" ca="1" si="368"/>
        <v>0</v>
      </c>
      <c r="S799" s="307">
        <f t="shared" ca="1" si="369"/>
        <v>2.6792999999999987</v>
      </c>
      <c r="T799" s="304">
        <f t="shared" ca="1" si="349"/>
        <v>26.283932999999987</v>
      </c>
      <c r="U799" s="311">
        <f t="shared" ca="1" si="350"/>
        <v>0</v>
      </c>
      <c r="V799" s="306">
        <f t="shared" ca="1" si="351"/>
        <v>1.2263806309143528</v>
      </c>
      <c r="W799" s="304">
        <f t="shared" ca="1" si="352"/>
        <v>25.402255840851829</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0.31529140292286506</v>
      </c>
      <c r="AH799" s="304">
        <f t="shared" ca="1" si="376"/>
        <v>-9.4809145679450655</v>
      </c>
    </row>
    <row r="800" spans="1:34" x14ac:dyDescent="0.2">
      <c r="A800" s="347">
        <f t="shared" ca="1" si="354"/>
        <v>1E-4</v>
      </c>
      <c r="B800" s="304">
        <f t="shared" ca="1" si="355"/>
        <v>36.628200000001144</v>
      </c>
      <c r="D800" s="306">
        <f t="shared" ca="1" si="356"/>
        <v>-0.5025971874294104</v>
      </c>
      <c r="E800" s="307">
        <f t="shared" ca="1" si="357"/>
        <v>-0.34240102337772882</v>
      </c>
      <c r="F800" s="304">
        <f t="shared" ca="1" si="358"/>
        <v>0.60814668758620216</v>
      </c>
      <c r="G800" s="306">
        <f t="shared" ca="1" si="359"/>
        <v>5.3315327956161926</v>
      </c>
      <c r="H800" s="307">
        <f t="shared" ca="1" si="360"/>
        <v>-100.43292869507806</v>
      </c>
      <c r="I800" s="304">
        <f t="shared" ca="1" si="361"/>
        <v>100.57434269345917</v>
      </c>
      <c r="J800" s="306">
        <f t="shared" ca="1" si="362"/>
        <v>711.72888807733182</v>
      </c>
      <c r="K800" s="307">
        <f t="shared" ca="1" si="363"/>
        <v>-11.274152152438035</v>
      </c>
      <c r="L800" s="304">
        <f t="shared" ca="1" si="348"/>
        <v>711.8181766649061</v>
      </c>
      <c r="M800" s="306">
        <f t="shared" ca="1" si="364"/>
        <v>-1.5177606033181767</v>
      </c>
      <c r="N800" s="304">
        <f t="shared" ca="1" si="365"/>
        <v>-86.961276881361059</v>
      </c>
      <c r="P800" s="310">
        <f t="shared" ca="1" si="366"/>
        <v>23</v>
      </c>
      <c r="Q800" s="304">
        <f t="shared" ca="1" si="367"/>
        <v>0</v>
      </c>
      <c r="R800" s="306">
        <f t="shared" ca="1" si="368"/>
        <v>0</v>
      </c>
      <c r="S800" s="307">
        <f t="shared" ca="1" si="369"/>
        <v>2.6792999999999987</v>
      </c>
      <c r="T800" s="304">
        <f t="shared" ca="1" si="349"/>
        <v>26.283932999999987</v>
      </c>
      <c r="U800" s="311">
        <f t="shared" ca="1" si="350"/>
        <v>0</v>
      </c>
      <c r="V800" s="306">
        <f t="shared" ca="1" si="351"/>
        <v>1.2263818626051368</v>
      </c>
      <c r="W800" s="304">
        <f t="shared" ca="1" si="352"/>
        <v>25.402297279112101</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0.3152762054888214</v>
      </c>
      <c r="AH800" s="304">
        <f t="shared" ca="1" si="376"/>
        <v>-9.4809300342820304</v>
      </c>
    </row>
    <row r="801" spans="1:34" x14ac:dyDescent="0.2">
      <c r="A801" s="347">
        <f t="shared" ca="1" si="354"/>
        <v>1E-4</v>
      </c>
      <c r="B801" s="304">
        <f t="shared" ca="1" si="355"/>
        <v>36.628300000001147</v>
      </c>
      <c r="D801" s="306">
        <f t="shared" ca="1" si="356"/>
        <v>-0.50259311187028599</v>
      </c>
      <c r="E801" s="307">
        <f t="shared" ca="1" si="357"/>
        <v>-0.34238531916936132</v>
      </c>
      <c r="F801" s="304">
        <f t="shared" ca="1" si="358"/>
        <v>0.60813447762987694</v>
      </c>
      <c r="G801" s="306">
        <f t="shared" ca="1" si="359"/>
        <v>5.331482536305006</v>
      </c>
      <c r="H801" s="307">
        <f t="shared" ca="1" si="360"/>
        <v>-100.43296293360997</v>
      </c>
      <c r="I801" s="304">
        <f t="shared" ca="1" si="361"/>
        <v>100.57437421957344</v>
      </c>
      <c r="J801" s="306">
        <f t="shared" ca="1" si="362"/>
        <v>711.72888807733182</v>
      </c>
      <c r="K801" s="307">
        <f t="shared" ca="1" si="363"/>
        <v>-11.284195447019469</v>
      </c>
      <c r="L801" s="304">
        <f t="shared" ca="1" si="348"/>
        <v>711.81833580674333</v>
      </c>
      <c r="M801" s="306">
        <f t="shared" ca="1" si="364"/>
        <v>-1.5177611203848542</v>
      </c>
      <c r="N801" s="304">
        <f t="shared" ca="1" si="365"/>
        <v>-86.961306507099408</v>
      </c>
      <c r="P801" s="310">
        <f t="shared" ca="1" si="366"/>
        <v>23</v>
      </c>
      <c r="Q801" s="304">
        <f t="shared" ca="1" si="367"/>
        <v>0</v>
      </c>
      <c r="R801" s="306">
        <f t="shared" ca="1" si="368"/>
        <v>0</v>
      </c>
      <c r="S801" s="307">
        <f t="shared" ca="1" si="369"/>
        <v>2.6792999999999987</v>
      </c>
      <c r="T801" s="304">
        <f t="shared" ca="1" si="349"/>
        <v>26.283932999999987</v>
      </c>
      <c r="U801" s="311">
        <f t="shared" ca="1" si="350"/>
        <v>0</v>
      </c>
      <c r="V801" s="306">
        <f t="shared" ca="1" si="351"/>
        <v>1.2263830942975789</v>
      </c>
      <c r="W801" s="304">
        <f t="shared" ca="1" si="352"/>
        <v>25.402338716676013</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0.3152610083093581</v>
      </c>
      <c r="AH801" s="304">
        <f t="shared" ca="1" si="376"/>
        <v>-9.4809455003590912</v>
      </c>
    </row>
    <row r="802" spans="1:34" x14ac:dyDescent="0.2">
      <c r="A802" s="347">
        <f t="shared" ca="1" si="354"/>
        <v>1E-4</v>
      </c>
      <c r="B802" s="304">
        <f t="shared" ca="1" si="355"/>
        <v>36.62840000000115</v>
      </c>
      <c r="D802" s="306">
        <f t="shared" ca="1" si="356"/>
        <v>-0.50258903633049556</v>
      </c>
      <c r="E802" s="307">
        <f t="shared" ca="1" si="357"/>
        <v>-0.342369615224829</v>
      </c>
      <c r="F802" s="304">
        <f t="shared" ca="1" si="358"/>
        <v>0.60812226802577596</v>
      </c>
      <c r="G802" s="306">
        <f t="shared" ca="1" si="359"/>
        <v>5.3314322774013734</v>
      </c>
      <c r="H802" s="307">
        <f t="shared" ca="1" si="360"/>
        <v>-100.4329971705715</v>
      </c>
      <c r="I802" s="304">
        <f t="shared" ca="1" si="361"/>
        <v>100.57440574416803</v>
      </c>
      <c r="J802" s="306">
        <f t="shared" ca="1" si="362"/>
        <v>711.72888807733182</v>
      </c>
      <c r="K802" s="307">
        <f t="shared" ca="1" si="363"/>
        <v>-11.294238745024678</v>
      </c>
      <c r="L802" s="304">
        <f t="shared" ca="1" si="348"/>
        <v>711.81849509030371</v>
      </c>
      <c r="M802" s="306">
        <f t="shared" ca="1" si="364"/>
        <v>-1.5177616374463332</v>
      </c>
      <c r="N802" s="304">
        <f t="shared" ca="1" si="365"/>
        <v>-86.961336132539898</v>
      </c>
      <c r="P802" s="310">
        <f t="shared" ca="1" si="366"/>
        <v>23</v>
      </c>
      <c r="Q802" s="304">
        <f t="shared" ca="1" si="367"/>
        <v>0</v>
      </c>
      <c r="R802" s="306">
        <f t="shared" ca="1" si="368"/>
        <v>0</v>
      </c>
      <c r="S802" s="307">
        <f t="shared" ca="1" si="369"/>
        <v>2.6792999999999987</v>
      </c>
      <c r="T802" s="304">
        <f t="shared" ca="1" si="349"/>
        <v>26.283932999999987</v>
      </c>
      <c r="U802" s="311">
        <f t="shared" ca="1" si="350"/>
        <v>0</v>
      </c>
      <c r="V802" s="306">
        <f t="shared" ca="1" si="351"/>
        <v>1.226384325991678</v>
      </c>
      <c r="W802" s="304">
        <f t="shared" ca="1" si="352"/>
        <v>25.402380153543575</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0.31524581138447338</v>
      </c>
      <c r="AH802" s="304">
        <f t="shared" ca="1" si="376"/>
        <v>-9.4809609661762497</v>
      </c>
    </row>
    <row r="803" spans="1:34" x14ac:dyDescent="0.2">
      <c r="A803" s="347">
        <f t="shared" ca="1" si="354"/>
        <v>1E-4</v>
      </c>
      <c r="B803" s="304">
        <f t="shared" ca="1" si="355"/>
        <v>36.628500000001154</v>
      </c>
      <c r="D803" s="306">
        <f t="shared" ca="1" si="356"/>
        <v>-0.50258496081003989</v>
      </c>
      <c r="E803" s="307">
        <f t="shared" ca="1" si="357"/>
        <v>-0.34235391154412653</v>
      </c>
      <c r="F803" s="304">
        <f t="shared" ca="1" si="358"/>
        <v>0.60811005877389745</v>
      </c>
      <c r="G803" s="306">
        <f t="shared" ca="1" si="359"/>
        <v>5.3313820189052921</v>
      </c>
      <c r="H803" s="307">
        <f t="shared" ca="1" si="360"/>
        <v>-100.43303140596265</v>
      </c>
      <c r="I803" s="304">
        <f t="shared" ca="1" si="361"/>
        <v>100.57443726724296</v>
      </c>
      <c r="J803" s="306">
        <f t="shared" ca="1" si="362"/>
        <v>711.72888807733182</v>
      </c>
      <c r="K803" s="307">
        <f t="shared" ca="1" si="363"/>
        <v>-11.304282046453505</v>
      </c>
      <c r="L803" s="304">
        <f t="shared" ca="1" si="348"/>
        <v>711.81865451558724</v>
      </c>
      <c r="M803" s="306">
        <f t="shared" ca="1" si="364"/>
        <v>-1.5177621545026139</v>
      </c>
      <c r="N803" s="304">
        <f t="shared" ca="1" si="365"/>
        <v>-86.961365757682557</v>
      </c>
      <c r="P803" s="310">
        <f t="shared" ca="1" si="366"/>
        <v>23</v>
      </c>
      <c r="Q803" s="304">
        <f t="shared" ca="1" si="367"/>
        <v>0</v>
      </c>
      <c r="R803" s="306">
        <f t="shared" ca="1" si="368"/>
        <v>0</v>
      </c>
      <c r="S803" s="307">
        <f t="shared" ca="1" si="369"/>
        <v>2.6792999999999987</v>
      </c>
      <c r="T803" s="304">
        <f t="shared" ca="1" si="349"/>
        <v>26.283932999999987</v>
      </c>
      <c r="U803" s="311">
        <f t="shared" ca="1" si="350"/>
        <v>0</v>
      </c>
      <c r="V803" s="306">
        <f t="shared" ca="1" si="351"/>
        <v>1.2263855576874352</v>
      </c>
      <c r="W803" s="304">
        <f t="shared" ca="1" si="352"/>
        <v>25.402421589714795</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0.31523061471416725</v>
      </c>
      <c r="AH803" s="304">
        <f t="shared" ca="1" si="376"/>
        <v>-9.4809764317335077</v>
      </c>
    </row>
    <row r="804" spans="1:34" x14ac:dyDescent="0.2">
      <c r="A804" s="347">
        <f t="shared" ca="1" si="354"/>
        <v>1E-4</v>
      </c>
      <c r="B804" s="304">
        <f t="shared" ca="1" si="355"/>
        <v>36.628600000001157</v>
      </c>
      <c r="D804" s="306">
        <f t="shared" ca="1" si="356"/>
        <v>-0.50258088530891765</v>
      </c>
      <c r="E804" s="307">
        <f t="shared" ca="1" si="357"/>
        <v>-0.34233820812725213</v>
      </c>
      <c r="F804" s="304">
        <f t="shared" ca="1" si="358"/>
        <v>0.60809784987423954</v>
      </c>
      <c r="G804" s="306">
        <f t="shared" ca="1" si="359"/>
        <v>5.3313317608167612</v>
      </c>
      <c r="H804" s="307">
        <f t="shared" ca="1" si="360"/>
        <v>-100.43306563978346</v>
      </c>
      <c r="I804" s="304">
        <f t="shared" ca="1" si="361"/>
        <v>100.57446878879821</v>
      </c>
      <c r="J804" s="306">
        <f t="shared" ca="1" si="362"/>
        <v>711.72888807733182</v>
      </c>
      <c r="K804" s="307">
        <f t="shared" ca="1" si="363"/>
        <v>-11.314325351305792</v>
      </c>
      <c r="L804" s="304">
        <f t="shared" ca="1" si="348"/>
        <v>711.8188140825938</v>
      </c>
      <c r="M804" s="306">
        <f t="shared" ca="1" si="364"/>
        <v>-1.5177626715536963</v>
      </c>
      <c r="N804" s="304">
        <f t="shared" ca="1" si="365"/>
        <v>-86.961395382527371</v>
      </c>
      <c r="P804" s="310">
        <f t="shared" ca="1" si="366"/>
        <v>23</v>
      </c>
      <c r="Q804" s="304">
        <f t="shared" ca="1" si="367"/>
        <v>0</v>
      </c>
      <c r="R804" s="306">
        <f t="shared" ca="1" si="368"/>
        <v>0</v>
      </c>
      <c r="S804" s="307">
        <f t="shared" ca="1" si="369"/>
        <v>2.6792999999999987</v>
      </c>
      <c r="T804" s="304">
        <f t="shared" ca="1" si="349"/>
        <v>26.283932999999987</v>
      </c>
      <c r="U804" s="311">
        <f t="shared" ca="1" si="350"/>
        <v>0</v>
      </c>
      <c r="V804" s="306">
        <f t="shared" ca="1" si="351"/>
        <v>1.2263867893848497</v>
      </c>
      <c r="W804" s="304">
        <f t="shared" ca="1" si="352"/>
        <v>25.402463025189672</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0.31521541829843613</v>
      </c>
      <c r="AH804" s="304">
        <f t="shared" ca="1" si="376"/>
        <v>-9.4809918970308686</v>
      </c>
    </row>
    <row r="805" spans="1:34" x14ac:dyDescent="0.2">
      <c r="A805" s="347">
        <f t="shared" ca="1" si="354"/>
        <v>1E-4</v>
      </c>
      <c r="B805" s="304">
        <f t="shared" ca="1" si="355"/>
        <v>36.62870000000116</v>
      </c>
      <c r="D805" s="306">
        <f t="shared" ca="1" si="356"/>
        <v>-0.50257680982712971</v>
      </c>
      <c r="E805" s="307">
        <f t="shared" ca="1" si="357"/>
        <v>-0.3423225049742058</v>
      </c>
      <c r="F805" s="304">
        <f t="shared" ca="1" si="358"/>
        <v>0.60808564132680354</v>
      </c>
      <c r="G805" s="306">
        <f t="shared" ca="1" si="359"/>
        <v>5.3312815031357781</v>
      </c>
      <c r="H805" s="307">
        <f t="shared" ca="1" si="360"/>
        <v>-100.43309987203396</v>
      </c>
      <c r="I805" s="304">
        <f t="shared" ca="1" si="361"/>
        <v>100.57450030883388</v>
      </c>
      <c r="J805" s="306">
        <f t="shared" ca="1" si="362"/>
        <v>711.72888807733182</v>
      </c>
      <c r="K805" s="307">
        <f t="shared" ca="1" si="363"/>
        <v>-11.324368659581383</v>
      </c>
      <c r="L805" s="304">
        <f t="shared" ca="1" si="348"/>
        <v>711.81897379132374</v>
      </c>
      <c r="M805" s="306">
        <f t="shared" ca="1" si="364"/>
        <v>-1.5177631885995804</v>
      </c>
      <c r="N805" s="304">
        <f t="shared" ca="1" si="365"/>
        <v>-86.96142500707434</v>
      </c>
      <c r="P805" s="310">
        <f t="shared" ca="1" si="366"/>
        <v>23</v>
      </c>
      <c r="Q805" s="304">
        <f t="shared" ca="1" si="367"/>
        <v>0</v>
      </c>
      <c r="R805" s="306">
        <f t="shared" ca="1" si="368"/>
        <v>0</v>
      </c>
      <c r="S805" s="307">
        <f t="shared" ca="1" si="369"/>
        <v>2.6792999999999987</v>
      </c>
      <c r="T805" s="304">
        <f t="shared" ca="1" si="349"/>
        <v>26.283932999999987</v>
      </c>
      <c r="U805" s="311">
        <f t="shared" ca="1" si="350"/>
        <v>0</v>
      </c>
      <c r="V805" s="306">
        <f t="shared" ca="1" si="351"/>
        <v>1.2263880210839218</v>
      </c>
      <c r="W805" s="304">
        <f t="shared" ca="1" si="352"/>
        <v>25.402504459968235</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0.31520022213728005</v>
      </c>
      <c r="AH805" s="304">
        <f t="shared" ca="1" si="376"/>
        <v>-9.4810073620683326</v>
      </c>
    </row>
    <row r="806" spans="1:34" x14ac:dyDescent="0.2">
      <c r="A806" s="347">
        <f t="shared" ca="1" si="354"/>
        <v>1E-4</v>
      </c>
      <c r="B806" s="304">
        <f t="shared" ca="1" si="355"/>
        <v>36.628800000001164</v>
      </c>
      <c r="D806" s="306">
        <f t="shared" ca="1" si="356"/>
        <v>-0.50257273436467698</v>
      </c>
      <c r="E806" s="307">
        <f t="shared" ca="1" si="357"/>
        <v>-0.3423068020849751</v>
      </c>
      <c r="F806" s="304">
        <f t="shared" ca="1" si="358"/>
        <v>0.60807343313158357</v>
      </c>
      <c r="G806" s="306">
        <f t="shared" ca="1" si="359"/>
        <v>5.3312312458623419</v>
      </c>
      <c r="H806" s="307">
        <f t="shared" ca="1" si="360"/>
        <v>-100.43313410271418</v>
      </c>
      <c r="I806" s="304">
        <f t="shared" ca="1" si="361"/>
        <v>100.57453182734996</v>
      </c>
      <c r="J806" s="306">
        <f t="shared" ca="1" si="362"/>
        <v>711.72888807733182</v>
      </c>
      <c r="K806" s="307">
        <f t="shared" ca="1" si="363"/>
        <v>-11.334411971280121</v>
      </c>
      <c r="L806" s="304">
        <f t="shared" ca="1" si="348"/>
        <v>711.81913364177683</v>
      </c>
      <c r="M806" s="306">
        <f t="shared" ca="1" si="364"/>
        <v>-1.5177637056402662</v>
      </c>
      <c r="N806" s="304">
        <f t="shared" ca="1" si="365"/>
        <v>-86.961454631323477</v>
      </c>
      <c r="P806" s="310">
        <f t="shared" ca="1" si="366"/>
        <v>23</v>
      </c>
      <c r="Q806" s="304">
        <f t="shared" ca="1" si="367"/>
        <v>0</v>
      </c>
      <c r="R806" s="306">
        <f t="shared" ca="1" si="368"/>
        <v>0</v>
      </c>
      <c r="S806" s="307">
        <f t="shared" ca="1" si="369"/>
        <v>2.6792999999999987</v>
      </c>
      <c r="T806" s="304">
        <f t="shared" ca="1" si="349"/>
        <v>26.283932999999987</v>
      </c>
      <c r="U806" s="311">
        <f t="shared" ca="1" si="350"/>
        <v>0</v>
      </c>
      <c r="V806" s="306">
        <f t="shared" ca="1" si="351"/>
        <v>1.2263892527846514</v>
      </c>
      <c r="W806" s="304">
        <f t="shared" ca="1" si="352"/>
        <v>25.40254589405049</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0.31518502623068834</v>
      </c>
      <c r="AH806" s="304">
        <f t="shared" ca="1" si="376"/>
        <v>-9.4810228268459102</v>
      </c>
    </row>
    <row r="807" spans="1:34" x14ac:dyDescent="0.2">
      <c r="A807" s="347">
        <f t="shared" ca="1" si="354"/>
        <v>1E-4</v>
      </c>
      <c r="B807" s="304">
        <f t="shared" ca="1" si="355"/>
        <v>36.628900000001167</v>
      </c>
      <c r="D807" s="306">
        <f t="shared" ca="1" si="356"/>
        <v>-0.50256865892156033</v>
      </c>
      <c r="E807" s="307">
        <f t="shared" ca="1" si="357"/>
        <v>-0.34229109945956182</v>
      </c>
      <c r="F807" s="304">
        <f t="shared" ca="1" si="358"/>
        <v>0.60806122528858164</v>
      </c>
      <c r="G807" s="306">
        <f t="shared" ca="1" si="359"/>
        <v>5.3311809889964499</v>
      </c>
      <c r="H807" s="307">
        <f t="shared" ca="1" si="360"/>
        <v>-100.43316833182412</v>
      </c>
      <c r="I807" s="304">
        <f t="shared" ca="1" si="361"/>
        <v>100.57456334434646</v>
      </c>
      <c r="J807" s="306">
        <f t="shared" ca="1" si="362"/>
        <v>711.72888807733182</v>
      </c>
      <c r="K807" s="307">
        <f t="shared" ca="1" si="363"/>
        <v>-11.344455286401848</v>
      </c>
      <c r="L807" s="304">
        <f t="shared" ca="1" si="348"/>
        <v>711.81929363395341</v>
      </c>
      <c r="M807" s="306">
        <f t="shared" ca="1" si="364"/>
        <v>-1.5177642226757542</v>
      </c>
      <c r="N807" s="304">
        <f t="shared" ca="1" si="365"/>
        <v>-86.961484255274797</v>
      </c>
      <c r="P807" s="310">
        <f t="shared" ca="1" si="366"/>
        <v>23</v>
      </c>
      <c r="Q807" s="304">
        <f t="shared" ca="1" si="367"/>
        <v>0</v>
      </c>
      <c r="R807" s="306">
        <f t="shared" ca="1" si="368"/>
        <v>0</v>
      </c>
      <c r="S807" s="307">
        <f t="shared" ca="1" si="369"/>
        <v>2.6792999999999987</v>
      </c>
      <c r="T807" s="304">
        <f t="shared" ca="1" si="349"/>
        <v>26.283932999999987</v>
      </c>
      <c r="U807" s="311">
        <f t="shared" ca="1" si="350"/>
        <v>0</v>
      </c>
      <c r="V807" s="306">
        <f t="shared" ca="1" si="351"/>
        <v>1.2263904844870388</v>
      </c>
      <c r="W807" s="304">
        <f t="shared" ca="1" si="352"/>
        <v>25.402587327436439</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0.31516983057865744</v>
      </c>
      <c r="AH807" s="304">
        <f t="shared" ca="1" si="376"/>
        <v>-9.4810382913636033</v>
      </c>
    </row>
    <row r="808" spans="1:34" x14ac:dyDescent="0.2">
      <c r="A808" s="347">
        <f t="shared" ca="1" si="354"/>
        <v>1E-4</v>
      </c>
      <c r="B808" s="304">
        <f t="shared" ca="1" si="355"/>
        <v>36.62900000000117</v>
      </c>
      <c r="D808" s="306">
        <f t="shared" ca="1" si="356"/>
        <v>-0.50256458349777633</v>
      </c>
      <c r="E808" s="307">
        <f t="shared" ca="1" si="357"/>
        <v>-0.34227539709795884</v>
      </c>
      <c r="F808" s="304">
        <f t="shared" ca="1" si="358"/>
        <v>0.60804901779779141</v>
      </c>
      <c r="G808" s="306">
        <f t="shared" ca="1" si="359"/>
        <v>5.3311307325381003</v>
      </c>
      <c r="H808" s="307">
        <f t="shared" ca="1" si="360"/>
        <v>-100.43320255936383</v>
      </c>
      <c r="I808" s="304">
        <f t="shared" ca="1" si="361"/>
        <v>100.57459485982341</v>
      </c>
      <c r="J808" s="306">
        <f t="shared" ca="1" si="362"/>
        <v>711.72888807733182</v>
      </c>
      <c r="K808" s="307">
        <f t="shared" ca="1" si="363"/>
        <v>-11.354498604946407</v>
      </c>
      <c r="L808" s="304">
        <f t="shared" ca="1" si="348"/>
        <v>711.81945376785313</v>
      </c>
      <c r="M808" s="306">
        <f t="shared" ca="1" si="364"/>
        <v>-1.5177647397060439</v>
      </c>
      <c r="N808" s="304">
        <f t="shared" ca="1" si="365"/>
        <v>-86.961513878928272</v>
      </c>
      <c r="P808" s="310">
        <f t="shared" ca="1" si="366"/>
        <v>23</v>
      </c>
      <c r="Q808" s="304">
        <f t="shared" ca="1" si="367"/>
        <v>0</v>
      </c>
      <c r="R808" s="306">
        <f t="shared" ca="1" si="368"/>
        <v>0</v>
      </c>
      <c r="S808" s="307">
        <f t="shared" ca="1" si="369"/>
        <v>2.6792999999999987</v>
      </c>
      <c r="T808" s="304">
        <f t="shared" ca="1" si="349"/>
        <v>26.283932999999987</v>
      </c>
      <c r="U808" s="311">
        <f t="shared" ca="1" si="350"/>
        <v>0</v>
      </c>
      <c r="V808" s="306">
        <f t="shared" ca="1" si="351"/>
        <v>1.2263917161910836</v>
      </c>
      <c r="W808" s="304">
        <f t="shared" ca="1" si="352"/>
        <v>25.402628760126078</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0.31515463518118914</v>
      </c>
      <c r="AH808" s="304">
        <f t="shared" ca="1" si="376"/>
        <v>-9.4810537556214136</v>
      </c>
    </row>
    <row r="809" spans="1:34" x14ac:dyDescent="0.2">
      <c r="A809" s="347">
        <f t="shared" ca="1" si="354"/>
        <v>1E-4</v>
      </c>
      <c r="B809" s="304">
        <f t="shared" ca="1" si="355"/>
        <v>36.629100000001173</v>
      </c>
      <c r="D809" s="306">
        <f t="shared" ca="1" si="356"/>
        <v>-0.50256050809332953</v>
      </c>
      <c r="E809" s="307">
        <f t="shared" ca="1" si="357"/>
        <v>-0.34225969500017506</v>
      </c>
      <c r="F809" s="304">
        <f t="shared" ca="1" si="358"/>
        <v>0.60803681065922177</v>
      </c>
      <c r="G809" s="306">
        <f t="shared" ca="1" si="359"/>
        <v>5.3310804764872906</v>
      </c>
      <c r="H809" s="307">
        <f t="shared" ca="1" si="360"/>
        <v>-100.43323678533334</v>
      </c>
      <c r="I809" s="304">
        <f t="shared" ca="1" si="361"/>
        <v>100.57462637378086</v>
      </c>
      <c r="J809" s="306">
        <f t="shared" ca="1" si="362"/>
        <v>711.72888807733182</v>
      </c>
      <c r="K809" s="307">
        <f t="shared" ca="1" si="363"/>
        <v>-11.364541926913642</v>
      </c>
      <c r="L809" s="304">
        <f t="shared" ca="1" si="348"/>
        <v>711.81961404347635</v>
      </c>
      <c r="M809" s="306">
        <f t="shared" ca="1" si="364"/>
        <v>-1.5177652567311355</v>
      </c>
      <c r="N809" s="304">
        <f t="shared" ca="1" si="365"/>
        <v>-86.961543502283931</v>
      </c>
      <c r="P809" s="310">
        <f t="shared" ca="1" si="366"/>
        <v>23</v>
      </c>
      <c r="Q809" s="304">
        <f t="shared" ca="1" si="367"/>
        <v>0</v>
      </c>
      <c r="R809" s="306">
        <f t="shared" ca="1" si="368"/>
        <v>0</v>
      </c>
      <c r="S809" s="307">
        <f t="shared" ca="1" si="369"/>
        <v>2.6792999999999987</v>
      </c>
      <c r="T809" s="304">
        <f t="shared" ca="1" si="349"/>
        <v>26.283932999999987</v>
      </c>
      <c r="U809" s="311">
        <f t="shared" ca="1" si="350"/>
        <v>0</v>
      </c>
      <c r="V809" s="306">
        <f t="shared" ca="1" si="351"/>
        <v>1.2263929478967857</v>
      </c>
      <c r="W809" s="304">
        <f t="shared" ca="1" si="352"/>
        <v>25.402670192119444</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0.3151394400382852</v>
      </c>
      <c r="AH809" s="304">
        <f t="shared" ca="1" si="376"/>
        <v>-9.4810692196193376</v>
      </c>
    </row>
    <row r="810" spans="1:34" x14ac:dyDescent="0.2">
      <c r="A810" s="347">
        <f t="shared" ca="1" si="354"/>
        <v>1E-4</v>
      </c>
      <c r="B810" s="304">
        <f t="shared" ca="1" si="355"/>
        <v>36.629200000001177</v>
      </c>
      <c r="D810" s="306">
        <f t="shared" ca="1" si="356"/>
        <v>-0.50255643270821959</v>
      </c>
      <c r="E810" s="307">
        <f t="shared" ca="1" si="357"/>
        <v>-0.34224399316618914</v>
      </c>
      <c r="F810" s="304">
        <f t="shared" ca="1" si="358"/>
        <v>0.60802460387286117</v>
      </c>
      <c r="G810" s="306">
        <f t="shared" ca="1" si="359"/>
        <v>5.3310302208440197</v>
      </c>
      <c r="H810" s="307">
        <f t="shared" ca="1" si="360"/>
        <v>-100.43327100973265</v>
      </c>
      <c r="I810" s="304">
        <f t="shared" ca="1" si="361"/>
        <v>100.57465788621882</v>
      </c>
      <c r="J810" s="306">
        <f t="shared" ca="1" si="362"/>
        <v>711.72888807733182</v>
      </c>
      <c r="K810" s="307">
        <f t="shared" ca="1" si="363"/>
        <v>-11.374585252303396</v>
      </c>
      <c r="L810" s="304">
        <f t="shared" ca="1" si="348"/>
        <v>711.81977446082306</v>
      </c>
      <c r="M810" s="306">
        <f t="shared" ca="1" si="364"/>
        <v>-1.5177657737510293</v>
      </c>
      <c r="N810" s="304">
        <f t="shared" ca="1" si="365"/>
        <v>-86.961573125341758</v>
      </c>
      <c r="P810" s="310">
        <f t="shared" ca="1" si="366"/>
        <v>23</v>
      </c>
      <c r="Q810" s="304">
        <f t="shared" ca="1" si="367"/>
        <v>0</v>
      </c>
      <c r="R810" s="306">
        <f t="shared" ca="1" si="368"/>
        <v>0</v>
      </c>
      <c r="S810" s="307">
        <f t="shared" ca="1" si="369"/>
        <v>2.6792999999999987</v>
      </c>
      <c r="T810" s="304">
        <f t="shared" ca="1" si="349"/>
        <v>26.283932999999987</v>
      </c>
      <c r="U810" s="311">
        <f t="shared" ca="1" si="350"/>
        <v>0</v>
      </c>
      <c r="V810" s="306">
        <f t="shared" ca="1" si="351"/>
        <v>1.2263941796041453</v>
      </c>
      <c r="W810" s="304">
        <f t="shared" ca="1" si="352"/>
        <v>25.402711623416526</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0.31512424514992965</v>
      </c>
      <c r="AH810" s="304">
        <f t="shared" ca="1" si="376"/>
        <v>-9.4810846833573912</v>
      </c>
    </row>
    <row r="811" spans="1:34" x14ac:dyDescent="0.2">
      <c r="A811" s="347">
        <f t="shared" ca="1" si="354"/>
        <v>1E-4</v>
      </c>
      <c r="B811" s="304">
        <f t="shared" ca="1" si="355"/>
        <v>36.62930000000118</v>
      </c>
      <c r="D811" s="306">
        <f t="shared" ca="1" si="356"/>
        <v>-0.50255235734244452</v>
      </c>
      <c r="E811" s="307">
        <f t="shared" ca="1" si="357"/>
        <v>-0.34222829159600998</v>
      </c>
      <c r="F811" s="304">
        <f t="shared" ca="1" si="358"/>
        <v>0.60801239743871316</v>
      </c>
      <c r="G811" s="306">
        <f t="shared" ca="1" si="359"/>
        <v>5.330979965608285</v>
      </c>
      <c r="H811" s="307">
        <f t="shared" ca="1" si="360"/>
        <v>-100.43330523256181</v>
      </c>
      <c r="I811" s="304">
        <f t="shared" ca="1" si="361"/>
        <v>100.57468939713731</v>
      </c>
      <c r="J811" s="306">
        <f t="shared" ca="1" si="362"/>
        <v>711.72888807733182</v>
      </c>
      <c r="K811" s="307">
        <f t="shared" ca="1" si="363"/>
        <v>-11.384628581115511</v>
      </c>
      <c r="L811" s="304">
        <f t="shared" ca="1" si="348"/>
        <v>711.81993501989325</v>
      </c>
      <c r="M811" s="306">
        <f t="shared" ca="1" si="364"/>
        <v>-1.5177662907657252</v>
      </c>
      <c r="N811" s="304">
        <f t="shared" ca="1" si="365"/>
        <v>-86.961602748101782</v>
      </c>
      <c r="P811" s="310">
        <f t="shared" ca="1" si="366"/>
        <v>23</v>
      </c>
      <c r="Q811" s="304">
        <f t="shared" ca="1" si="367"/>
        <v>0</v>
      </c>
      <c r="R811" s="306">
        <f t="shared" ca="1" si="368"/>
        <v>0</v>
      </c>
      <c r="S811" s="307">
        <f t="shared" ca="1" si="369"/>
        <v>2.6792999999999987</v>
      </c>
      <c r="T811" s="304">
        <f t="shared" ca="1" si="349"/>
        <v>26.283932999999987</v>
      </c>
      <c r="U811" s="311">
        <f t="shared" ca="1" si="350"/>
        <v>0</v>
      </c>
      <c r="V811" s="306">
        <f t="shared" ca="1" si="351"/>
        <v>1.2263954113131628</v>
      </c>
      <c r="W811" s="304">
        <f t="shared" ca="1" si="352"/>
        <v>25.40275305401736</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0.31510905051612959</v>
      </c>
      <c r="AH811" s="304">
        <f t="shared" ca="1" si="376"/>
        <v>-9.4811001468355691</v>
      </c>
    </row>
    <row r="812" spans="1:34" x14ac:dyDescent="0.2">
      <c r="A812" s="347">
        <f t="shared" ca="1" si="354"/>
        <v>1E-4</v>
      </c>
      <c r="B812" s="304">
        <f t="shared" ca="1" si="355"/>
        <v>36.629400000001183</v>
      </c>
      <c r="D812" s="306">
        <f t="shared" ca="1" si="356"/>
        <v>-0.50254828199600576</v>
      </c>
      <c r="E812" s="307">
        <f t="shared" ca="1" si="357"/>
        <v>-0.34221259028962514</v>
      </c>
      <c r="F812" s="304">
        <f t="shared" ca="1" si="358"/>
        <v>0.6080001913567723</v>
      </c>
      <c r="G812" s="306">
        <f t="shared" ca="1" si="359"/>
        <v>5.3309297107800857</v>
      </c>
      <c r="H812" s="307">
        <f t="shared" ca="1" si="360"/>
        <v>-100.43333945382084</v>
      </c>
      <c r="I812" s="304">
        <f t="shared" ca="1" si="361"/>
        <v>100.57472090653636</v>
      </c>
      <c r="J812" s="306">
        <f t="shared" ca="1" si="362"/>
        <v>711.72888807733182</v>
      </c>
      <c r="K812" s="307">
        <f t="shared" ca="1" si="363"/>
        <v>-11.39467191334983</v>
      </c>
      <c r="L812" s="304">
        <f t="shared" ca="1" si="348"/>
        <v>711.82009572068705</v>
      </c>
      <c r="M812" s="306">
        <f t="shared" ca="1" si="364"/>
        <v>-1.5177668077752233</v>
      </c>
      <c r="N812" s="304">
        <f t="shared" ca="1" si="365"/>
        <v>-86.96163237056399</v>
      </c>
      <c r="P812" s="310">
        <f t="shared" ca="1" si="366"/>
        <v>23</v>
      </c>
      <c r="Q812" s="304">
        <f t="shared" ca="1" si="367"/>
        <v>0</v>
      </c>
      <c r="R812" s="306">
        <f t="shared" ca="1" si="368"/>
        <v>0</v>
      </c>
      <c r="S812" s="307">
        <f t="shared" ca="1" si="369"/>
        <v>2.6792999999999987</v>
      </c>
      <c r="T812" s="304">
        <f t="shared" ca="1" si="349"/>
        <v>26.283932999999987</v>
      </c>
      <c r="U812" s="311">
        <f t="shared" ca="1" si="350"/>
        <v>0</v>
      </c>
      <c r="V812" s="306">
        <f t="shared" ca="1" si="351"/>
        <v>1.2263966430238373</v>
      </c>
      <c r="W812" s="304">
        <f t="shared" ca="1" si="352"/>
        <v>25.40279448392192</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0.3150938561368708</v>
      </c>
      <c r="AH812" s="304">
        <f t="shared" ca="1" si="376"/>
        <v>-9.4811156100538838</v>
      </c>
    </row>
    <row r="813" spans="1:34" x14ac:dyDescent="0.2">
      <c r="A813" s="347">
        <f t="shared" ca="1" si="354"/>
        <v>1E-4</v>
      </c>
      <c r="B813" s="304">
        <f t="shared" ca="1" si="355"/>
        <v>36.629500000001187</v>
      </c>
      <c r="D813" s="306">
        <f t="shared" ca="1" si="356"/>
        <v>-0.50254420666890343</v>
      </c>
      <c r="E813" s="307">
        <f t="shared" ca="1" si="357"/>
        <v>-0.34219688924703995</v>
      </c>
      <c r="F813" s="304">
        <f t="shared" ca="1" si="358"/>
        <v>0.60798798562704215</v>
      </c>
      <c r="G813" s="306">
        <f t="shared" ca="1" si="359"/>
        <v>5.3308794563594191</v>
      </c>
      <c r="H813" s="307">
        <f t="shared" ca="1" si="360"/>
        <v>-100.43337367350976</v>
      </c>
      <c r="I813" s="304">
        <f t="shared" ca="1" si="361"/>
        <v>100.57475241441601</v>
      </c>
      <c r="J813" s="306">
        <f t="shared" ca="1" si="362"/>
        <v>711.72888807733182</v>
      </c>
      <c r="K813" s="307">
        <f t="shared" ca="1" si="363"/>
        <v>-11.404715249006196</v>
      </c>
      <c r="L813" s="304">
        <f t="shared" ca="1" si="348"/>
        <v>711.82025656320434</v>
      </c>
      <c r="M813" s="306">
        <f t="shared" ca="1" si="364"/>
        <v>-1.5177673247795236</v>
      </c>
      <c r="N813" s="304">
        <f t="shared" ca="1" si="365"/>
        <v>-86.961661992728395</v>
      </c>
      <c r="P813" s="310">
        <f t="shared" ca="1" si="366"/>
        <v>23</v>
      </c>
      <c r="Q813" s="304">
        <f t="shared" ca="1" si="367"/>
        <v>0</v>
      </c>
      <c r="R813" s="306">
        <f t="shared" ca="1" si="368"/>
        <v>0</v>
      </c>
      <c r="S813" s="307">
        <f t="shared" ca="1" si="369"/>
        <v>2.6792999999999987</v>
      </c>
      <c r="T813" s="304">
        <f t="shared" ca="1" si="349"/>
        <v>26.283932999999987</v>
      </c>
      <c r="U813" s="311">
        <f t="shared" ca="1" si="350"/>
        <v>0</v>
      </c>
      <c r="V813" s="306">
        <f t="shared" ca="1" si="351"/>
        <v>1.2263978747361692</v>
      </c>
      <c r="W813" s="304">
        <f t="shared" ca="1" si="352"/>
        <v>25.402835913130243</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0.31507866201216039</v>
      </c>
      <c r="AH813" s="304">
        <f t="shared" ca="1" si="376"/>
        <v>-9.4811310730123282</v>
      </c>
    </row>
    <row r="814" spans="1:34" x14ac:dyDescent="0.2">
      <c r="A814" s="347">
        <f t="shared" ca="1" si="354"/>
        <v>1E-4</v>
      </c>
      <c r="B814" s="304">
        <f t="shared" ca="1" si="355"/>
        <v>36.62960000000119</v>
      </c>
      <c r="D814" s="306">
        <f t="shared" ca="1" si="356"/>
        <v>-0.50254013136113895</v>
      </c>
      <c r="E814" s="307">
        <f t="shared" ca="1" si="357"/>
        <v>-0.34218118846824375</v>
      </c>
      <c r="F814" s="304">
        <f t="shared" ca="1" si="358"/>
        <v>0.60797578024951826</v>
      </c>
      <c r="G814" s="306">
        <f t="shared" ca="1" si="359"/>
        <v>5.3308292023462833</v>
      </c>
      <c r="H814" s="307">
        <f t="shared" ca="1" si="360"/>
        <v>-100.4334078916286</v>
      </c>
      <c r="I814" s="304">
        <f t="shared" ca="1" si="361"/>
        <v>100.57478392077627</v>
      </c>
      <c r="J814" s="306">
        <f t="shared" ca="1" si="362"/>
        <v>711.72888807733182</v>
      </c>
      <c r="K814" s="307">
        <f t="shared" ca="1" si="363"/>
        <v>-11.414758588084453</v>
      </c>
      <c r="L814" s="304">
        <f t="shared" ca="1" si="348"/>
        <v>711.82041754744535</v>
      </c>
      <c r="M814" s="306">
        <f t="shared" ca="1" si="364"/>
        <v>-1.5177678417786262</v>
      </c>
      <c r="N814" s="304">
        <f t="shared" ca="1" si="365"/>
        <v>-86.961691614594983</v>
      </c>
      <c r="P814" s="310">
        <f t="shared" ca="1" si="366"/>
        <v>23</v>
      </c>
      <c r="Q814" s="304">
        <f t="shared" ca="1" si="367"/>
        <v>0</v>
      </c>
      <c r="R814" s="306">
        <f t="shared" ca="1" si="368"/>
        <v>0</v>
      </c>
      <c r="S814" s="307">
        <f t="shared" ca="1" si="369"/>
        <v>2.6792999999999987</v>
      </c>
      <c r="T814" s="304">
        <f t="shared" ca="1" si="349"/>
        <v>26.283932999999987</v>
      </c>
      <c r="U814" s="311">
        <f t="shared" ca="1" si="350"/>
        <v>0</v>
      </c>
      <c r="V814" s="306">
        <f t="shared" ca="1" si="351"/>
        <v>1.2263991064501589</v>
      </c>
      <c r="W814" s="304">
        <f t="shared" ca="1" si="352"/>
        <v>25.402877341642331</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0.31506346814198594</v>
      </c>
      <c r="AH814" s="304">
        <f t="shared" ca="1" si="376"/>
        <v>-9.4811465357109146</v>
      </c>
    </row>
    <row r="815" spans="1:34" x14ac:dyDescent="0.2">
      <c r="A815" s="347">
        <f t="shared" ca="1" si="354"/>
        <v>1E-4</v>
      </c>
      <c r="B815" s="304">
        <f t="shared" ca="1" si="355"/>
        <v>36.629700000001193</v>
      </c>
      <c r="D815" s="306">
        <f t="shared" ca="1" si="356"/>
        <v>-0.50253605607271101</v>
      </c>
      <c r="E815" s="307">
        <f t="shared" ca="1" si="357"/>
        <v>-0.34216548795323298</v>
      </c>
      <c r="F815" s="304">
        <f t="shared" ca="1" si="358"/>
        <v>0.60796357522419797</v>
      </c>
      <c r="G815" s="306">
        <f t="shared" ca="1" si="359"/>
        <v>5.3307789487406758</v>
      </c>
      <c r="H815" s="307">
        <f t="shared" ca="1" si="360"/>
        <v>-100.4334421081774</v>
      </c>
      <c r="I815" s="304">
        <f t="shared" ca="1" si="361"/>
        <v>100.57481542561716</v>
      </c>
      <c r="J815" s="306">
        <f t="shared" ca="1" si="362"/>
        <v>711.72888807733182</v>
      </c>
      <c r="K815" s="307">
        <f t="shared" ca="1" si="363"/>
        <v>-11.424801930584444</v>
      </c>
      <c r="L815" s="304">
        <f t="shared" ca="1" si="348"/>
        <v>711.82057867340995</v>
      </c>
      <c r="M815" s="306">
        <f t="shared" ca="1" si="364"/>
        <v>-1.5177683587725312</v>
      </c>
      <c r="N815" s="304">
        <f t="shared" ca="1" si="365"/>
        <v>-86.961721236163783</v>
      </c>
      <c r="P815" s="310">
        <f t="shared" ca="1" si="366"/>
        <v>23</v>
      </c>
      <c r="Q815" s="304">
        <f t="shared" ca="1" si="367"/>
        <v>0</v>
      </c>
      <c r="R815" s="306">
        <f t="shared" ca="1" si="368"/>
        <v>0</v>
      </c>
      <c r="S815" s="307">
        <f t="shared" ca="1" si="369"/>
        <v>2.6792999999999987</v>
      </c>
      <c r="T815" s="304">
        <f t="shared" ca="1" si="349"/>
        <v>26.283932999999987</v>
      </c>
      <c r="U815" s="311">
        <f t="shared" ca="1" si="350"/>
        <v>0</v>
      </c>
      <c r="V815" s="306">
        <f t="shared" ca="1" si="351"/>
        <v>1.226400338165806</v>
      </c>
      <c r="W815" s="304">
        <f t="shared" ca="1" si="352"/>
        <v>25.402918769458189</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0.31504827452634743</v>
      </c>
      <c r="AH815" s="304">
        <f t="shared" ca="1" si="376"/>
        <v>-9.4811619981496449</v>
      </c>
    </row>
    <row r="816" spans="1:34" x14ac:dyDescent="0.2">
      <c r="A816" s="347">
        <f t="shared" ca="1" si="354"/>
        <v>1E-4</v>
      </c>
      <c r="B816" s="304">
        <f t="shared" ca="1" si="355"/>
        <v>36.629800000001197</v>
      </c>
      <c r="D816" s="306">
        <f t="shared" ca="1" si="356"/>
        <v>-0.50253198080362005</v>
      </c>
      <c r="E816" s="307">
        <f t="shared" ca="1" si="357"/>
        <v>-0.34214978770200766</v>
      </c>
      <c r="F816" s="304">
        <f t="shared" ca="1" si="358"/>
        <v>0.60795137055108184</v>
      </c>
      <c r="G816" s="306">
        <f t="shared" ca="1" si="359"/>
        <v>5.3307286955425957</v>
      </c>
      <c r="H816" s="307">
        <f t="shared" ca="1" si="360"/>
        <v>-100.43347632315617</v>
      </c>
      <c r="I816" s="304">
        <f t="shared" ca="1" si="361"/>
        <v>100.57484692893871</v>
      </c>
      <c r="J816" s="306">
        <f t="shared" ca="1" si="362"/>
        <v>711.72888807733182</v>
      </c>
      <c r="K816" s="307">
        <f t="shared" ca="1" si="363"/>
        <v>-11.43484527650601</v>
      </c>
      <c r="L816" s="304">
        <f t="shared" ca="1" si="348"/>
        <v>711.82073994109828</v>
      </c>
      <c r="M816" s="306">
        <f t="shared" ca="1" si="364"/>
        <v>-1.5177688757612386</v>
      </c>
      <c r="N816" s="304">
        <f t="shared" ca="1" si="365"/>
        <v>-86.961750857434765</v>
      </c>
      <c r="P816" s="310">
        <f t="shared" ca="1" si="366"/>
        <v>23</v>
      </c>
      <c r="Q816" s="304">
        <f t="shared" ca="1" si="367"/>
        <v>0</v>
      </c>
      <c r="R816" s="306">
        <f t="shared" ca="1" si="368"/>
        <v>0</v>
      </c>
      <c r="S816" s="307">
        <f t="shared" ca="1" si="369"/>
        <v>2.6792999999999987</v>
      </c>
      <c r="T816" s="304">
        <f t="shared" ca="1" si="349"/>
        <v>26.283932999999987</v>
      </c>
      <c r="U816" s="311">
        <f t="shared" ca="1" si="350"/>
        <v>0</v>
      </c>
      <c r="V816" s="306">
        <f t="shared" ca="1" si="351"/>
        <v>1.2264015698831097</v>
      </c>
      <c r="W816" s="304">
        <f t="shared" ca="1" si="352"/>
        <v>25.402960196577812</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0.31503308116524309</v>
      </c>
      <c r="AH816" s="304">
        <f t="shared" ca="1" si="376"/>
        <v>-9.481177460328519</v>
      </c>
    </row>
    <row r="817" spans="1:34" x14ac:dyDescent="0.2">
      <c r="A817" s="347">
        <f t="shared" ca="1" si="354"/>
        <v>1E-4</v>
      </c>
      <c r="B817" s="304">
        <f t="shared" ca="1" si="355"/>
        <v>36.6299000000012</v>
      </c>
      <c r="D817" s="306">
        <f t="shared" ca="1" si="356"/>
        <v>-0.50252790555386695</v>
      </c>
      <c r="E817" s="307">
        <f t="shared" ca="1" si="357"/>
        <v>-0.34213408771456955</v>
      </c>
      <c r="F817" s="304">
        <f t="shared" ca="1" si="358"/>
        <v>0.60793916623017219</v>
      </c>
      <c r="G817" s="306">
        <f t="shared" ca="1" si="359"/>
        <v>5.3306784427520402</v>
      </c>
      <c r="H817" s="307">
        <f t="shared" ca="1" si="360"/>
        <v>-100.43351053656494</v>
      </c>
      <c r="I817" s="304">
        <f t="shared" ca="1" si="361"/>
        <v>100.57487843074095</v>
      </c>
      <c r="J817" s="306">
        <f t="shared" ca="1" si="362"/>
        <v>711.72888807733182</v>
      </c>
      <c r="K817" s="307">
        <f t="shared" ca="1" si="363"/>
        <v>-11.444888625848996</v>
      </c>
      <c r="L817" s="304">
        <f t="shared" ca="1" si="348"/>
        <v>711.82090135051055</v>
      </c>
      <c r="M817" s="306">
        <f t="shared" ca="1" si="364"/>
        <v>-1.5177693927447486</v>
      </c>
      <c r="N817" s="304">
        <f t="shared" ca="1" si="365"/>
        <v>-86.961780478407974</v>
      </c>
      <c r="P817" s="310">
        <f t="shared" ca="1" si="366"/>
        <v>23</v>
      </c>
      <c r="Q817" s="304">
        <f t="shared" ca="1" si="367"/>
        <v>0</v>
      </c>
      <c r="R817" s="306">
        <f t="shared" ca="1" si="368"/>
        <v>0</v>
      </c>
      <c r="S817" s="307">
        <f t="shared" ca="1" si="369"/>
        <v>2.6792999999999987</v>
      </c>
      <c r="T817" s="304">
        <f t="shared" ca="1" si="349"/>
        <v>26.283932999999987</v>
      </c>
      <c r="U817" s="311">
        <f t="shared" ca="1" si="350"/>
        <v>0</v>
      </c>
      <c r="V817" s="306">
        <f t="shared" ca="1" si="351"/>
        <v>1.2264028016020718</v>
      </c>
      <c r="W817" s="304">
        <f t="shared" ca="1" si="352"/>
        <v>25.403001623001245</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0.31501788805867648</v>
      </c>
      <c r="AH817" s="304">
        <f t="shared" ca="1" si="376"/>
        <v>-9.4811929222475371</v>
      </c>
    </row>
    <row r="818" spans="1:34" x14ac:dyDescent="0.2">
      <c r="A818" s="347">
        <f t="shared" ca="1" si="354"/>
        <v>1E-4</v>
      </c>
      <c r="B818" s="304">
        <f t="shared" ca="1" si="355"/>
        <v>36.630000000001203</v>
      </c>
      <c r="D818" s="306">
        <f t="shared" ca="1" si="356"/>
        <v>-0.50252383032345094</v>
      </c>
      <c r="E818" s="307">
        <f t="shared" ca="1" si="357"/>
        <v>-0.34211838799090266</v>
      </c>
      <c r="F818" s="304">
        <f t="shared" ca="1" si="358"/>
        <v>0.60792696226145981</v>
      </c>
      <c r="G818" s="306">
        <f t="shared" ca="1" si="359"/>
        <v>5.3306281903690076</v>
      </c>
      <c r="H818" s="307">
        <f t="shared" ca="1" si="360"/>
        <v>-100.43354474840373</v>
      </c>
      <c r="I818" s="304">
        <f t="shared" ca="1" si="361"/>
        <v>100.57490993102391</v>
      </c>
      <c r="J818" s="306">
        <f t="shared" ca="1" si="362"/>
        <v>711.72888807733182</v>
      </c>
      <c r="K818" s="307">
        <f t="shared" ca="1" si="363"/>
        <v>-11.454931978613244</v>
      </c>
      <c r="L818" s="304">
        <f t="shared" ca="1" si="348"/>
        <v>711.82106290164654</v>
      </c>
      <c r="M818" s="306">
        <f t="shared" ca="1" si="364"/>
        <v>-1.517769909723061</v>
      </c>
      <c r="N818" s="304">
        <f t="shared" ca="1" si="365"/>
        <v>-86.961810099083365</v>
      </c>
      <c r="P818" s="310">
        <f t="shared" ca="1" si="366"/>
        <v>23</v>
      </c>
      <c r="Q818" s="304">
        <f t="shared" ca="1" si="367"/>
        <v>0</v>
      </c>
      <c r="R818" s="306">
        <f t="shared" ca="1" si="368"/>
        <v>0</v>
      </c>
      <c r="S818" s="307">
        <f t="shared" ca="1" si="369"/>
        <v>2.6792999999999987</v>
      </c>
      <c r="T818" s="304">
        <f t="shared" ca="1" si="349"/>
        <v>26.283932999999987</v>
      </c>
      <c r="U818" s="311">
        <f t="shared" ca="1" si="350"/>
        <v>0</v>
      </c>
      <c r="V818" s="306">
        <f t="shared" ca="1" si="351"/>
        <v>1.2264040333226907</v>
      </c>
      <c r="W818" s="304">
        <f t="shared" ca="1" si="352"/>
        <v>25.403043048728478</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0.31500269520662982</v>
      </c>
      <c r="AH818" s="304">
        <f t="shared" ca="1" si="376"/>
        <v>-9.4812083839067132</v>
      </c>
    </row>
    <row r="819" spans="1:34" x14ac:dyDescent="0.2">
      <c r="A819" s="347">
        <f t="shared" ca="1" si="354"/>
        <v>1E-4</v>
      </c>
      <c r="B819" s="304">
        <f t="shared" ca="1" si="355"/>
        <v>36.630100000001207</v>
      </c>
      <c r="D819" s="306">
        <f t="shared" ca="1" si="356"/>
        <v>-0.50251975511237468</v>
      </c>
      <c r="E819" s="307">
        <f t="shared" ca="1" si="357"/>
        <v>-0.34210268853100878</v>
      </c>
      <c r="F819" s="304">
        <f t="shared" ca="1" si="358"/>
        <v>0.60791475864494804</v>
      </c>
      <c r="G819" s="306">
        <f t="shared" ca="1" si="359"/>
        <v>5.3305779383934961</v>
      </c>
      <c r="H819" s="307">
        <f t="shared" ca="1" si="360"/>
        <v>-100.43357895867258</v>
      </c>
      <c r="I819" s="304">
        <f t="shared" ca="1" si="361"/>
        <v>100.57494142978761</v>
      </c>
      <c r="J819" s="306">
        <f t="shared" ca="1" si="362"/>
        <v>711.72888807733182</v>
      </c>
      <c r="K819" s="307">
        <f t="shared" ca="1" si="363"/>
        <v>-11.464975334798599</v>
      </c>
      <c r="L819" s="304">
        <f t="shared" ca="1" si="348"/>
        <v>711.82122459450636</v>
      </c>
      <c r="M819" s="306">
        <f t="shared" ca="1" si="364"/>
        <v>-1.5177704266961762</v>
      </c>
      <c r="N819" s="304">
        <f t="shared" ca="1" si="365"/>
        <v>-86.961839719460983</v>
      </c>
      <c r="P819" s="310">
        <f t="shared" ca="1" si="366"/>
        <v>23</v>
      </c>
      <c r="Q819" s="304">
        <f t="shared" ca="1" si="367"/>
        <v>0</v>
      </c>
      <c r="R819" s="306">
        <f t="shared" ca="1" si="368"/>
        <v>0</v>
      </c>
      <c r="S819" s="307">
        <f t="shared" ca="1" si="369"/>
        <v>2.6792999999999987</v>
      </c>
      <c r="T819" s="304">
        <f t="shared" ca="1" si="349"/>
        <v>26.283932999999987</v>
      </c>
      <c r="U819" s="311">
        <f t="shared" ca="1" si="350"/>
        <v>0</v>
      </c>
      <c r="V819" s="306">
        <f t="shared" ca="1" si="351"/>
        <v>1.2264052650449668</v>
      </c>
      <c r="W819" s="304">
        <f t="shared" ca="1" si="352"/>
        <v>25.403084473759517</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0.31498750260910491</v>
      </c>
      <c r="AH819" s="304">
        <f t="shared" ca="1" si="376"/>
        <v>-9.4812238453060456</v>
      </c>
    </row>
    <row r="820" spans="1:34" x14ac:dyDescent="0.2">
      <c r="A820" s="347">
        <f t="shared" ca="1" si="354"/>
        <v>1E-4</v>
      </c>
      <c r="B820" s="304">
        <f t="shared" ca="1" si="355"/>
        <v>36.63020000000121</v>
      </c>
      <c r="D820" s="306">
        <f t="shared" ca="1" si="356"/>
        <v>-0.50251567992063473</v>
      </c>
      <c r="E820" s="307">
        <f t="shared" ca="1" si="357"/>
        <v>-0.34208698933488613</v>
      </c>
      <c r="F820" s="304">
        <f t="shared" ca="1" si="358"/>
        <v>0.60790255538063354</v>
      </c>
      <c r="G820" s="306">
        <f t="shared" ca="1" si="359"/>
        <v>5.330527686825504</v>
      </c>
      <c r="H820" s="307">
        <f t="shared" ca="1" si="360"/>
        <v>-100.43361316737152</v>
      </c>
      <c r="I820" s="304">
        <f t="shared" ca="1" si="361"/>
        <v>100.57497292703208</v>
      </c>
      <c r="J820" s="306">
        <f t="shared" ca="1" si="362"/>
        <v>711.72888807733182</v>
      </c>
      <c r="K820" s="307">
        <f t="shared" ca="1" si="363"/>
        <v>-11.4750186944049</v>
      </c>
      <c r="L820" s="304">
        <f t="shared" ca="1" si="348"/>
        <v>711.82138642909013</v>
      </c>
      <c r="M820" s="306">
        <f t="shared" ca="1" si="364"/>
        <v>-1.5177709436640938</v>
      </c>
      <c r="N820" s="304">
        <f t="shared" ca="1" si="365"/>
        <v>-86.961869339540812</v>
      </c>
      <c r="P820" s="310">
        <f t="shared" ca="1" si="366"/>
        <v>23</v>
      </c>
      <c r="Q820" s="304">
        <f t="shared" ca="1" si="367"/>
        <v>0</v>
      </c>
      <c r="R820" s="306">
        <f t="shared" ca="1" si="368"/>
        <v>0</v>
      </c>
      <c r="S820" s="307">
        <f t="shared" ca="1" si="369"/>
        <v>2.6792999999999987</v>
      </c>
      <c r="T820" s="304">
        <f t="shared" ca="1" si="349"/>
        <v>26.283932999999987</v>
      </c>
      <c r="U820" s="311">
        <f t="shared" ca="1" si="350"/>
        <v>0</v>
      </c>
      <c r="V820" s="306">
        <f t="shared" ca="1" si="351"/>
        <v>1.2264064967689003</v>
      </c>
      <c r="W820" s="304">
        <f t="shared" ca="1" si="352"/>
        <v>25.40312589809437</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0.31497231026609995</v>
      </c>
      <c r="AH820" s="304">
        <f t="shared" ca="1" si="376"/>
        <v>-9.4812393064455378</v>
      </c>
    </row>
    <row r="821" spans="1:34" x14ac:dyDescent="0.2">
      <c r="A821" s="347">
        <f t="shared" ca="1" si="354"/>
        <v>1E-4</v>
      </c>
      <c r="B821" s="304">
        <f t="shared" ca="1" si="355"/>
        <v>36.630300000001213</v>
      </c>
      <c r="D821" s="306">
        <f t="shared" ca="1" si="356"/>
        <v>-0.50251160474823597</v>
      </c>
      <c r="E821" s="307">
        <f t="shared" ca="1" si="357"/>
        <v>-0.34207129040253115</v>
      </c>
      <c r="F821" s="304">
        <f t="shared" ca="1" si="358"/>
        <v>0.60789035246851886</v>
      </c>
      <c r="G821" s="306">
        <f t="shared" ca="1" si="359"/>
        <v>5.3304774356650295</v>
      </c>
      <c r="H821" s="307">
        <f t="shared" ca="1" si="360"/>
        <v>-100.43364737450055</v>
      </c>
      <c r="I821" s="304">
        <f t="shared" ca="1" si="361"/>
        <v>100.57500442275733</v>
      </c>
      <c r="J821" s="306">
        <f t="shared" ca="1" si="362"/>
        <v>711.72888807733182</v>
      </c>
      <c r="K821" s="307">
        <f t="shared" ca="1" si="363"/>
        <v>-11.485062057431994</v>
      </c>
      <c r="L821" s="304">
        <f t="shared" ca="1" si="348"/>
        <v>711.82154840539783</v>
      </c>
      <c r="M821" s="306">
        <f t="shared" ca="1" si="364"/>
        <v>-1.5177714606268145</v>
      </c>
      <c r="N821" s="304">
        <f t="shared" ca="1" si="365"/>
        <v>-86.961898959322866</v>
      </c>
      <c r="P821" s="310">
        <f t="shared" ca="1" si="366"/>
        <v>23</v>
      </c>
      <c r="Q821" s="304">
        <f t="shared" ca="1" si="367"/>
        <v>0</v>
      </c>
      <c r="R821" s="306">
        <f t="shared" ca="1" si="368"/>
        <v>0</v>
      </c>
      <c r="S821" s="307">
        <f t="shared" ca="1" si="369"/>
        <v>2.6792999999999987</v>
      </c>
      <c r="T821" s="304">
        <f t="shared" ca="1" si="349"/>
        <v>26.283932999999987</v>
      </c>
      <c r="U821" s="311">
        <f t="shared" ca="1" si="350"/>
        <v>0</v>
      </c>
      <c r="V821" s="306">
        <f t="shared" ca="1" si="351"/>
        <v>1.2264077284944914</v>
      </c>
      <c r="W821" s="304">
        <f t="shared" ca="1" si="352"/>
        <v>25.403167321733061</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0.31495711817761674</v>
      </c>
      <c r="AH821" s="304">
        <f t="shared" ca="1" si="376"/>
        <v>-9.4812547673251899</v>
      </c>
    </row>
    <row r="822" spans="1:34" x14ac:dyDescent="0.2">
      <c r="A822" s="347">
        <f t="shared" ca="1" si="354"/>
        <v>1E-4</v>
      </c>
      <c r="B822" s="304">
        <f t="shared" ca="1" si="355"/>
        <v>36.630400000001217</v>
      </c>
      <c r="D822" s="306">
        <f t="shared" ca="1" si="356"/>
        <v>-0.50250752959517331</v>
      </c>
      <c r="E822" s="307">
        <f t="shared" ca="1" si="357"/>
        <v>-0.34205559173393674</v>
      </c>
      <c r="F822" s="304">
        <f t="shared" ca="1" si="358"/>
        <v>0.60787814990859601</v>
      </c>
      <c r="G822" s="306">
        <f t="shared" ca="1" si="359"/>
        <v>5.3304271849120699</v>
      </c>
      <c r="H822" s="307">
        <f t="shared" ca="1" si="360"/>
        <v>-100.43368158005973</v>
      </c>
      <c r="I822" s="304">
        <f t="shared" ca="1" si="361"/>
        <v>100.5750359169634</v>
      </c>
      <c r="J822" s="306">
        <f t="shared" ca="1" si="362"/>
        <v>711.72888807733182</v>
      </c>
      <c r="K822" s="307">
        <f t="shared" ca="1" si="363"/>
        <v>-11.495105423879723</v>
      </c>
      <c r="L822" s="304">
        <f t="shared" ca="1" si="348"/>
        <v>711.8217105234296</v>
      </c>
      <c r="M822" s="306">
        <f t="shared" ca="1" si="364"/>
        <v>-1.5177719775843377</v>
      </c>
      <c r="N822" s="304">
        <f t="shared" ca="1" si="365"/>
        <v>-86.961928578807132</v>
      </c>
      <c r="P822" s="310">
        <f t="shared" ca="1" si="366"/>
        <v>23</v>
      </c>
      <c r="Q822" s="304">
        <f t="shared" ca="1" si="367"/>
        <v>0</v>
      </c>
      <c r="R822" s="306">
        <f t="shared" ca="1" si="368"/>
        <v>0</v>
      </c>
      <c r="S822" s="307">
        <f t="shared" ca="1" si="369"/>
        <v>2.6792999999999987</v>
      </c>
      <c r="T822" s="304">
        <f t="shared" ca="1" si="349"/>
        <v>26.283932999999987</v>
      </c>
      <c r="U822" s="311">
        <f t="shared" ca="1" si="350"/>
        <v>0</v>
      </c>
      <c r="V822" s="306">
        <f t="shared" ca="1" si="351"/>
        <v>1.2264089602217398</v>
      </c>
      <c r="W822" s="304">
        <f t="shared" ca="1" si="352"/>
        <v>25.403208744675599</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0.31494192634364104</v>
      </c>
      <c r="AH822" s="304">
        <f t="shared" ca="1" si="376"/>
        <v>-9.4812702279450125</v>
      </c>
    </row>
    <row r="823" spans="1:34" x14ac:dyDescent="0.2">
      <c r="A823" s="347">
        <f t="shared" ca="1" si="354"/>
        <v>1E-4</v>
      </c>
      <c r="B823" s="304">
        <f t="shared" ca="1" si="355"/>
        <v>36.63050000000122</v>
      </c>
      <c r="D823" s="306">
        <f t="shared" ca="1" si="356"/>
        <v>-0.50250345446145184</v>
      </c>
      <c r="E823" s="307">
        <f t="shared" ca="1" si="357"/>
        <v>-0.34203989332909757</v>
      </c>
      <c r="F823" s="304">
        <f t="shared" ca="1" si="358"/>
        <v>0.60786594770086677</v>
      </c>
      <c r="G823" s="306">
        <f t="shared" ca="1" si="359"/>
        <v>5.3303769345666234</v>
      </c>
      <c r="H823" s="307">
        <f t="shared" ca="1" si="360"/>
        <v>-100.43371578404906</v>
      </c>
      <c r="I823" s="304">
        <f t="shared" ca="1" si="361"/>
        <v>100.57506740965032</v>
      </c>
      <c r="J823" s="306">
        <f t="shared" ca="1" si="362"/>
        <v>711.72888807733182</v>
      </c>
      <c r="K823" s="307">
        <f t="shared" ca="1" si="363"/>
        <v>-11.505148793747928</v>
      </c>
      <c r="L823" s="304">
        <f t="shared" ca="1" si="348"/>
        <v>711.82187278318543</v>
      </c>
      <c r="M823" s="306">
        <f t="shared" ca="1" si="364"/>
        <v>-1.5177724945366637</v>
      </c>
      <c r="N823" s="304">
        <f t="shared" ca="1" si="365"/>
        <v>-86.961958197993624</v>
      </c>
      <c r="P823" s="310">
        <f t="shared" ca="1" si="366"/>
        <v>23</v>
      </c>
      <c r="Q823" s="304">
        <f t="shared" ca="1" si="367"/>
        <v>0</v>
      </c>
      <c r="R823" s="306">
        <f t="shared" ca="1" si="368"/>
        <v>0</v>
      </c>
      <c r="S823" s="307">
        <f t="shared" ca="1" si="369"/>
        <v>2.6792999999999987</v>
      </c>
      <c r="T823" s="304">
        <f t="shared" ca="1" si="349"/>
        <v>26.283932999999987</v>
      </c>
      <c r="U823" s="311">
        <f t="shared" ca="1" si="350"/>
        <v>0</v>
      </c>
      <c r="V823" s="306">
        <f t="shared" ca="1" si="351"/>
        <v>1.2264101919506454</v>
      </c>
      <c r="W823" s="304">
        <f t="shared" ca="1" si="352"/>
        <v>25.403250166921978</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0.3149267347641711</v>
      </c>
      <c r="AH823" s="304">
        <f t="shared" ca="1" si="376"/>
        <v>-9.4812856883050092</v>
      </c>
    </row>
    <row r="824" spans="1:34" x14ac:dyDescent="0.2">
      <c r="A824" s="347">
        <f t="shared" ca="1" si="354"/>
        <v>1E-4</v>
      </c>
      <c r="B824" s="304">
        <f t="shared" ca="1" si="355"/>
        <v>36.630600000001223</v>
      </c>
      <c r="D824" s="306">
        <f t="shared" ca="1" si="356"/>
        <v>-0.5024993793470699</v>
      </c>
      <c r="E824" s="307">
        <f t="shared" ca="1" si="357"/>
        <v>-0.34202419518801719</v>
      </c>
      <c r="F824" s="304">
        <f t="shared" ca="1" si="358"/>
        <v>0.60785374584533181</v>
      </c>
      <c r="G824" s="306">
        <f t="shared" ca="1" si="359"/>
        <v>5.3303266846286883</v>
      </c>
      <c r="H824" s="307">
        <f t="shared" ca="1" si="360"/>
        <v>-100.43374998646857</v>
      </c>
      <c r="I824" s="304">
        <f t="shared" ca="1" si="361"/>
        <v>100.57509890081809</v>
      </c>
      <c r="J824" s="306">
        <f t="shared" ca="1" si="362"/>
        <v>711.72888807733182</v>
      </c>
      <c r="K824" s="307">
        <f t="shared" ca="1" si="363"/>
        <v>-11.515192167036453</v>
      </c>
      <c r="L824" s="304">
        <f t="shared" ca="1" si="348"/>
        <v>711.82203518466531</v>
      </c>
      <c r="M824" s="306">
        <f t="shared" ca="1" si="364"/>
        <v>-1.5177730114837928</v>
      </c>
      <c r="N824" s="304">
        <f t="shared" ca="1" si="365"/>
        <v>-86.961987816882356</v>
      </c>
      <c r="P824" s="310">
        <f t="shared" ca="1" si="366"/>
        <v>23</v>
      </c>
      <c r="Q824" s="304">
        <f t="shared" ca="1" si="367"/>
        <v>0</v>
      </c>
      <c r="R824" s="306">
        <f t="shared" ca="1" si="368"/>
        <v>0</v>
      </c>
      <c r="S824" s="307">
        <f t="shared" ca="1" si="369"/>
        <v>2.6792999999999987</v>
      </c>
      <c r="T824" s="304">
        <f t="shared" ca="1" si="349"/>
        <v>26.283932999999987</v>
      </c>
      <c r="U824" s="311">
        <f t="shared" ca="1" si="350"/>
        <v>0</v>
      </c>
      <c r="V824" s="306">
        <f t="shared" ca="1" si="351"/>
        <v>1.2264114236812078</v>
      </c>
      <c r="W824" s="304">
        <f t="shared" ca="1" si="352"/>
        <v>25.403291588472211</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0.31491154343921224</v>
      </c>
      <c r="AH824" s="304">
        <f t="shared" ca="1" si="376"/>
        <v>-9.4813011484051763</v>
      </c>
    </row>
    <row r="825" spans="1:34" x14ac:dyDescent="0.2">
      <c r="A825" s="347">
        <f t="shared" ca="1" si="354"/>
        <v>1E-4</v>
      </c>
      <c r="B825" s="304">
        <f t="shared" ca="1" si="355"/>
        <v>36.630700000001227</v>
      </c>
      <c r="D825" s="306">
        <f t="shared" ca="1" si="356"/>
        <v>-0.50249530425202638</v>
      </c>
      <c r="E825" s="307">
        <f t="shared" ca="1" si="357"/>
        <v>-0.3420084973106885</v>
      </c>
      <c r="F825" s="304">
        <f t="shared" ca="1" si="358"/>
        <v>0.60784154434198701</v>
      </c>
      <c r="G825" s="306">
        <f t="shared" ca="1" si="359"/>
        <v>5.3302764350982628</v>
      </c>
      <c r="H825" s="307">
        <f t="shared" ca="1" si="360"/>
        <v>-100.4337841873183</v>
      </c>
      <c r="I825" s="304">
        <f t="shared" ca="1" si="361"/>
        <v>100.57513039046675</v>
      </c>
      <c r="J825" s="306">
        <f t="shared" ca="1" si="362"/>
        <v>711.72888807733182</v>
      </c>
      <c r="K825" s="307">
        <f t="shared" ca="1" si="363"/>
        <v>-11.525235543745142</v>
      </c>
      <c r="L825" s="304">
        <f t="shared" ca="1" si="348"/>
        <v>711.82219772786937</v>
      </c>
      <c r="M825" s="306">
        <f t="shared" ca="1" si="364"/>
        <v>-1.5177735284257248</v>
      </c>
      <c r="N825" s="304">
        <f t="shared" ca="1" si="365"/>
        <v>-86.962017435473314</v>
      </c>
      <c r="P825" s="310">
        <f t="shared" ca="1" si="366"/>
        <v>23</v>
      </c>
      <c r="Q825" s="304">
        <f t="shared" ca="1" si="367"/>
        <v>0</v>
      </c>
      <c r="R825" s="306">
        <f t="shared" ca="1" si="368"/>
        <v>0</v>
      </c>
      <c r="S825" s="307">
        <f t="shared" ca="1" si="369"/>
        <v>2.6792999999999987</v>
      </c>
      <c r="T825" s="304">
        <f t="shared" ca="1" si="349"/>
        <v>26.283932999999987</v>
      </c>
      <c r="U825" s="311">
        <f t="shared" ca="1" si="350"/>
        <v>0</v>
      </c>
      <c r="V825" s="306">
        <f t="shared" ca="1" si="351"/>
        <v>1.2264126554134278</v>
      </c>
      <c r="W825" s="304">
        <f t="shared" ca="1" si="352"/>
        <v>25.403333009326303</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0.3148963523687538</v>
      </c>
      <c r="AH825" s="304">
        <f t="shared" ca="1" si="376"/>
        <v>-9.4813166082455211</v>
      </c>
    </row>
    <row r="826" spans="1:34" x14ac:dyDescent="0.2">
      <c r="A826" s="347">
        <f t="shared" ca="1" si="354"/>
        <v>1E-4</v>
      </c>
      <c r="B826" s="304">
        <f t="shared" ca="1" si="355"/>
        <v>36.63080000000123</v>
      </c>
      <c r="D826" s="306">
        <f t="shared" ca="1" si="356"/>
        <v>-0.50249122917632394</v>
      </c>
      <c r="E826" s="307">
        <f t="shared" ca="1" si="357"/>
        <v>-0.34199279969711327</v>
      </c>
      <c r="F826" s="304">
        <f t="shared" ca="1" si="358"/>
        <v>0.6078293431908357</v>
      </c>
      <c r="G826" s="306">
        <f t="shared" ca="1" si="359"/>
        <v>5.330226185975345</v>
      </c>
      <c r="H826" s="307">
        <f t="shared" ca="1" si="360"/>
        <v>-100.43381838659826</v>
      </c>
      <c r="I826" s="304">
        <f t="shared" ca="1" si="361"/>
        <v>100.57516187859635</v>
      </c>
      <c r="J826" s="306">
        <f t="shared" ca="1" si="362"/>
        <v>711.72888807733182</v>
      </c>
      <c r="K826" s="307">
        <f t="shared" ca="1" si="363"/>
        <v>-11.535278923873838</v>
      </c>
      <c r="L826" s="304">
        <f t="shared" ca="1" si="348"/>
        <v>711.82236041279759</v>
      </c>
      <c r="M826" s="306">
        <f t="shared" ca="1" si="364"/>
        <v>-1.51777404536246</v>
      </c>
      <c r="N826" s="304">
        <f t="shared" ca="1" si="365"/>
        <v>-86.962047053766511</v>
      </c>
      <c r="P826" s="310">
        <f t="shared" ca="1" si="366"/>
        <v>23</v>
      </c>
      <c r="Q826" s="304">
        <f t="shared" ca="1" si="367"/>
        <v>0</v>
      </c>
      <c r="R826" s="306">
        <f t="shared" ca="1" si="368"/>
        <v>0</v>
      </c>
      <c r="S826" s="307">
        <f t="shared" ca="1" si="369"/>
        <v>2.6792999999999987</v>
      </c>
      <c r="T826" s="304">
        <f t="shared" ca="1" si="349"/>
        <v>26.283932999999987</v>
      </c>
      <c r="U826" s="311">
        <f t="shared" ca="1" si="350"/>
        <v>0</v>
      </c>
      <c r="V826" s="306">
        <f t="shared" ca="1" si="351"/>
        <v>1.2264138871473054</v>
      </c>
      <c r="W826" s="304">
        <f t="shared" ca="1" si="352"/>
        <v>25.403374429484295</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0.3148811615528011</v>
      </c>
      <c r="AH826" s="304">
        <f t="shared" ca="1" si="376"/>
        <v>-9.4813320678260418</v>
      </c>
    </row>
    <row r="827" spans="1:34" x14ac:dyDescent="0.2">
      <c r="A827" s="347">
        <f t="shared" ca="1" si="354"/>
        <v>1E-4</v>
      </c>
      <c r="B827" s="304">
        <f t="shared" ca="1" si="355"/>
        <v>36.630900000001233</v>
      </c>
      <c r="D827" s="306">
        <f t="shared" ca="1" si="356"/>
        <v>-0.50248715411996003</v>
      </c>
      <c r="E827" s="307">
        <f t="shared" ca="1" si="357"/>
        <v>-0.34197710234727197</v>
      </c>
      <c r="F827" s="304">
        <f t="shared" ca="1" si="358"/>
        <v>0.60781714239186524</v>
      </c>
      <c r="G827" s="306">
        <f t="shared" ca="1" si="359"/>
        <v>5.3301759372599333</v>
      </c>
      <c r="H827" s="307">
        <f t="shared" ca="1" si="360"/>
        <v>-100.4338525843085</v>
      </c>
      <c r="I827" s="304">
        <f t="shared" ca="1" si="361"/>
        <v>100.57519336520689</v>
      </c>
      <c r="J827" s="306">
        <f t="shared" ca="1" si="362"/>
        <v>711.72888807733182</v>
      </c>
      <c r="K827" s="307">
        <f t="shared" ca="1" si="363"/>
        <v>-11.545322307422383</v>
      </c>
      <c r="L827" s="304">
        <f t="shared" ca="1" si="348"/>
        <v>711.82252323944999</v>
      </c>
      <c r="M827" s="306">
        <f t="shared" ca="1" si="364"/>
        <v>-1.517774562293998</v>
      </c>
      <c r="N827" s="304">
        <f t="shared" ca="1" si="365"/>
        <v>-86.962076671761935</v>
      </c>
      <c r="P827" s="310">
        <f t="shared" ca="1" si="366"/>
        <v>23</v>
      </c>
      <c r="Q827" s="304">
        <f t="shared" ca="1" si="367"/>
        <v>0</v>
      </c>
      <c r="R827" s="306">
        <f t="shared" ca="1" si="368"/>
        <v>0</v>
      </c>
      <c r="S827" s="307">
        <f t="shared" ca="1" si="369"/>
        <v>2.6792999999999987</v>
      </c>
      <c r="T827" s="304">
        <f t="shared" ca="1" si="349"/>
        <v>26.283932999999987</v>
      </c>
      <c r="U827" s="311">
        <f t="shared" ca="1" si="350"/>
        <v>0</v>
      </c>
      <c r="V827" s="306">
        <f t="shared" ca="1" si="351"/>
        <v>1.2264151188828396</v>
      </c>
      <c r="W827" s="304">
        <f t="shared" ca="1" si="352"/>
        <v>25.403415848946167</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0.31486597099133107</v>
      </c>
      <c r="AH827" s="304">
        <f t="shared" ca="1" si="376"/>
        <v>-9.4813475271467578</v>
      </c>
    </row>
    <row r="828" spans="1:34" x14ac:dyDescent="0.2">
      <c r="A828" s="347">
        <f t="shared" ca="1" si="354"/>
        <v>1E-4</v>
      </c>
      <c r="B828" s="304">
        <f t="shared" ca="1" si="355"/>
        <v>36.631000000001237</v>
      </c>
      <c r="D828" s="306">
        <f t="shared" ca="1" si="356"/>
        <v>-0.5024830790829391</v>
      </c>
      <c r="E828" s="307">
        <f t="shared" ca="1" si="357"/>
        <v>-0.34196140526117702</v>
      </c>
      <c r="F828" s="304">
        <f t="shared" ca="1" si="358"/>
        <v>0.60780494194508661</v>
      </c>
      <c r="G828" s="306">
        <f t="shared" ca="1" si="359"/>
        <v>5.330125688952025</v>
      </c>
      <c r="H828" s="307">
        <f t="shared" ca="1" si="360"/>
        <v>-100.43388678044903</v>
      </c>
      <c r="I828" s="304">
        <f t="shared" ca="1" si="361"/>
        <v>100.5752248502984</v>
      </c>
      <c r="J828" s="306">
        <f t="shared" ca="1" si="362"/>
        <v>711.72888807733182</v>
      </c>
      <c r="K828" s="307">
        <f t="shared" ca="1" si="363"/>
        <v>-11.555365694390622</v>
      </c>
      <c r="L828" s="304">
        <f t="shared" ca="1" si="348"/>
        <v>711.82268620782679</v>
      </c>
      <c r="M828" s="306">
        <f t="shared" ca="1" si="364"/>
        <v>-1.5177750792203395</v>
      </c>
      <c r="N828" s="304">
        <f t="shared" ca="1" si="365"/>
        <v>-86.962106289459626</v>
      </c>
      <c r="P828" s="310">
        <f t="shared" ca="1" si="366"/>
        <v>23</v>
      </c>
      <c r="Q828" s="304">
        <f t="shared" ca="1" si="367"/>
        <v>0</v>
      </c>
      <c r="R828" s="306">
        <f t="shared" ca="1" si="368"/>
        <v>0</v>
      </c>
      <c r="S828" s="307">
        <f t="shared" ca="1" si="369"/>
        <v>2.6792999999999987</v>
      </c>
      <c r="T828" s="304">
        <f t="shared" ca="1" si="349"/>
        <v>26.283932999999987</v>
      </c>
      <c r="U828" s="311">
        <f t="shared" ca="1" si="350"/>
        <v>0</v>
      </c>
      <c r="V828" s="306">
        <f t="shared" ca="1" si="351"/>
        <v>1.2264163506200314</v>
      </c>
      <c r="W828" s="304">
        <f t="shared" ca="1" si="352"/>
        <v>25.403457267711943</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0.3148507806843579</v>
      </c>
      <c r="AH828" s="304">
        <f t="shared" ca="1" si="376"/>
        <v>-9.4813629862076585</v>
      </c>
    </row>
    <row r="829" spans="1:34" x14ac:dyDescent="0.2">
      <c r="A829" s="347">
        <f t="shared" ca="1" si="354"/>
        <v>1E-4</v>
      </c>
      <c r="B829" s="304">
        <f t="shared" ca="1" si="355"/>
        <v>36.63110000000124</v>
      </c>
      <c r="D829" s="306">
        <f t="shared" ca="1" si="356"/>
        <v>-0.50247900406525592</v>
      </c>
      <c r="E829" s="307">
        <f t="shared" ca="1" si="357"/>
        <v>-0.34194570843881245</v>
      </c>
      <c r="F829" s="304">
        <f t="shared" ca="1" si="358"/>
        <v>0.60779274185048704</v>
      </c>
      <c r="G829" s="306">
        <f t="shared" ca="1" si="359"/>
        <v>5.3300754410516182</v>
      </c>
      <c r="H829" s="307">
        <f t="shared" ca="1" si="360"/>
        <v>-100.43392097501987</v>
      </c>
      <c r="I829" s="304">
        <f t="shared" ca="1" si="361"/>
        <v>100.5752563338709</v>
      </c>
      <c r="J829" s="306">
        <f t="shared" ca="1" si="362"/>
        <v>711.72888807733182</v>
      </c>
      <c r="K829" s="307">
        <f t="shared" ca="1" si="363"/>
        <v>-11.565409084778395</v>
      </c>
      <c r="L829" s="304">
        <f t="shared" ca="1" si="348"/>
        <v>711.82284931792788</v>
      </c>
      <c r="M829" s="306">
        <f t="shared" ca="1" si="364"/>
        <v>-1.5177755961414841</v>
      </c>
      <c r="N829" s="304">
        <f t="shared" ca="1" si="365"/>
        <v>-86.962135906859558</v>
      </c>
      <c r="P829" s="310">
        <f t="shared" ca="1" si="366"/>
        <v>23</v>
      </c>
      <c r="Q829" s="304">
        <f t="shared" ca="1" si="367"/>
        <v>0</v>
      </c>
      <c r="R829" s="306">
        <f t="shared" ca="1" si="368"/>
        <v>0</v>
      </c>
      <c r="S829" s="307">
        <f t="shared" ca="1" si="369"/>
        <v>2.6792999999999987</v>
      </c>
      <c r="T829" s="304">
        <f t="shared" ca="1" si="349"/>
        <v>26.283932999999987</v>
      </c>
      <c r="U829" s="311">
        <f t="shared" ca="1" si="350"/>
        <v>0</v>
      </c>
      <c r="V829" s="306">
        <f t="shared" ca="1" si="351"/>
        <v>1.2264175823588801</v>
      </c>
      <c r="W829" s="304">
        <f t="shared" ca="1" si="352"/>
        <v>25.403498685781617</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0.31483559063187094</v>
      </c>
      <c r="AH829" s="304">
        <f t="shared" ca="1" si="376"/>
        <v>-9.4813784450087546</v>
      </c>
    </row>
    <row r="830" spans="1:34" x14ac:dyDescent="0.2">
      <c r="A830" s="347">
        <f t="shared" ca="1" si="354"/>
        <v>1E-4</v>
      </c>
      <c r="B830" s="304">
        <f t="shared" ca="1" si="355"/>
        <v>36.631200000001243</v>
      </c>
      <c r="D830" s="306">
        <f t="shared" ca="1" si="356"/>
        <v>-0.50247492906691504</v>
      </c>
      <c r="E830" s="307">
        <f t="shared" ca="1" si="357"/>
        <v>-0.34193001188018712</v>
      </c>
      <c r="F830" s="304">
        <f t="shared" ca="1" si="358"/>
        <v>0.60778054210807553</v>
      </c>
      <c r="G830" s="306">
        <f t="shared" ca="1" si="359"/>
        <v>5.3300251935587113</v>
      </c>
      <c r="H830" s="307">
        <f t="shared" ca="1" si="360"/>
        <v>-100.43395516802106</v>
      </c>
      <c r="I830" s="304">
        <f t="shared" ca="1" si="361"/>
        <v>100.57528781592441</v>
      </c>
      <c r="J830" s="306">
        <f t="shared" ca="1" si="362"/>
        <v>711.72888807733182</v>
      </c>
      <c r="K830" s="307">
        <f t="shared" ca="1" si="363"/>
        <v>-11.575452478585547</v>
      </c>
      <c r="L830" s="304">
        <f t="shared" ca="1" si="348"/>
        <v>711.82301256975325</v>
      </c>
      <c r="M830" s="306">
        <f t="shared" ca="1" si="364"/>
        <v>-1.5177761130574319</v>
      </c>
      <c r="N830" s="304">
        <f t="shared" ca="1" si="365"/>
        <v>-86.96216552396173</v>
      </c>
      <c r="P830" s="310">
        <f t="shared" ca="1" si="366"/>
        <v>23</v>
      </c>
      <c r="Q830" s="304">
        <f t="shared" ca="1" si="367"/>
        <v>0</v>
      </c>
      <c r="R830" s="306">
        <f t="shared" ca="1" si="368"/>
        <v>0</v>
      </c>
      <c r="S830" s="307">
        <f t="shared" ca="1" si="369"/>
        <v>2.6792999999999987</v>
      </c>
      <c r="T830" s="304">
        <f t="shared" ca="1" si="349"/>
        <v>26.283932999999987</v>
      </c>
      <c r="U830" s="311">
        <f t="shared" ca="1" si="350"/>
        <v>0</v>
      </c>
      <c r="V830" s="306">
        <f t="shared" ca="1" si="351"/>
        <v>1.2264188140993859</v>
      </c>
      <c r="W830" s="304">
        <f t="shared" ca="1" si="352"/>
        <v>25.403540103155205</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0.31482040083387197</v>
      </c>
      <c r="AH830" s="304">
        <f t="shared" ca="1" si="376"/>
        <v>-9.4813939035500425</v>
      </c>
    </row>
    <row r="831" spans="1:34" x14ac:dyDescent="0.2">
      <c r="A831" s="347">
        <f t="shared" ca="1" si="354"/>
        <v>1E-4</v>
      </c>
      <c r="B831" s="304">
        <f t="shared" ca="1" si="355"/>
        <v>36.631300000001247</v>
      </c>
      <c r="D831" s="306">
        <f t="shared" ca="1" si="356"/>
        <v>-0.50247085408791548</v>
      </c>
      <c r="E831" s="307">
        <f t="shared" ca="1" si="357"/>
        <v>-0.34191431558529217</v>
      </c>
      <c r="F831" s="304">
        <f t="shared" ca="1" si="358"/>
        <v>0.60776834271784674</v>
      </c>
      <c r="G831" s="306">
        <f t="shared" ca="1" si="359"/>
        <v>5.3299749464733024</v>
      </c>
      <c r="H831" s="307">
        <f t="shared" ca="1" si="360"/>
        <v>-100.43398935945261</v>
      </c>
      <c r="I831" s="304">
        <f t="shared" ca="1" si="361"/>
        <v>100.57531929645897</v>
      </c>
      <c r="J831" s="306">
        <f t="shared" ca="1" si="362"/>
        <v>711.72888807733182</v>
      </c>
      <c r="K831" s="307">
        <f t="shared" ca="1" si="363"/>
        <v>-11.585495875811921</v>
      </c>
      <c r="L831" s="304">
        <f t="shared" ca="1" si="348"/>
        <v>711.82317596330313</v>
      </c>
      <c r="M831" s="306">
        <f t="shared" ca="1" si="364"/>
        <v>-1.517776629968183</v>
      </c>
      <c r="N831" s="304">
        <f t="shared" ca="1" si="365"/>
        <v>-86.962195140766141</v>
      </c>
      <c r="P831" s="310">
        <f t="shared" ca="1" si="366"/>
        <v>23</v>
      </c>
      <c r="Q831" s="304">
        <f t="shared" ca="1" si="367"/>
        <v>0</v>
      </c>
      <c r="R831" s="306">
        <f t="shared" ca="1" si="368"/>
        <v>0</v>
      </c>
      <c r="S831" s="307">
        <f t="shared" ca="1" si="369"/>
        <v>2.6792999999999987</v>
      </c>
      <c r="T831" s="304">
        <f t="shared" ca="1" si="349"/>
        <v>26.283932999999987</v>
      </c>
      <c r="U831" s="311">
        <f t="shared" ca="1" si="350"/>
        <v>0</v>
      </c>
      <c r="V831" s="306">
        <f t="shared" ca="1" si="351"/>
        <v>1.2264200458415493</v>
      </c>
      <c r="W831" s="304">
        <f t="shared" ca="1" si="352"/>
        <v>25.40358151983272</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0.31480521129035566</v>
      </c>
      <c r="AH831" s="304">
        <f t="shared" ca="1" si="376"/>
        <v>-9.4814093618315294</v>
      </c>
    </row>
    <row r="832" spans="1:34" x14ac:dyDescent="0.2">
      <c r="A832" s="347">
        <f t="shared" ca="1" si="354"/>
        <v>1E-4</v>
      </c>
      <c r="B832" s="304">
        <f t="shared" ca="1" si="355"/>
        <v>36.63140000000125</v>
      </c>
      <c r="D832" s="306">
        <f t="shared" ca="1" si="356"/>
        <v>-0.50246677912825832</v>
      </c>
      <c r="E832" s="307">
        <f t="shared" ca="1" si="357"/>
        <v>-0.34189861955412226</v>
      </c>
      <c r="F832" s="304">
        <f t="shared" ca="1" si="358"/>
        <v>0.60775614367979891</v>
      </c>
      <c r="G832" s="306">
        <f t="shared" ca="1" si="359"/>
        <v>5.3299246997953897</v>
      </c>
      <c r="H832" s="307">
        <f t="shared" ca="1" si="360"/>
        <v>-100.43402354931456</v>
      </c>
      <c r="I832" s="304">
        <f t="shared" ca="1" si="361"/>
        <v>100.57535077547462</v>
      </c>
      <c r="J832" s="306">
        <f t="shared" ca="1" si="362"/>
        <v>711.72888807733182</v>
      </c>
      <c r="K832" s="307">
        <f t="shared" ca="1" si="363"/>
        <v>-11.595539276457359</v>
      </c>
      <c r="L832" s="304">
        <f t="shared" ca="1" si="348"/>
        <v>711.82333949857741</v>
      </c>
      <c r="M832" s="306">
        <f t="shared" ca="1" si="364"/>
        <v>-1.5177771468737378</v>
      </c>
      <c r="N832" s="304">
        <f t="shared" ca="1" si="365"/>
        <v>-86.96222475727285</v>
      </c>
      <c r="P832" s="310">
        <f t="shared" ca="1" si="366"/>
        <v>23</v>
      </c>
      <c r="Q832" s="304">
        <f t="shared" ca="1" si="367"/>
        <v>0</v>
      </c>
      <c r="R832" s="306">
        <f t="shared" ca="1" si="368"/>
        <v>0</v>
      </c>
      <c r="S832" s="307">
        <f t="shared" ca="1" si="369"/>
        <v>2.6792999999999987</v>
      </c>
      <c r="T832" s="304">
        <f t="shared" ca="1" si="349"/>
        <v>26.283932999999987</v>
      </c>
      <c r="U832" s="311">
        <f t="shared" ca="1" si="350"/>
        <v>0</v>
      </c>
      <c r="V832" s="306">
        <f t="shared" ca="1" si="351"/>
        <v>1.2264212775853693</v>
      </c>
      <c r="W832" s="304">
        <f t="shared" ca="1" si="352"/>
        <v>25.40362293581418</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0.31479002200131312</v>
      </c>
      <c r="AH832" s="304">
        <f t="shared" ca="1" si="376"/>
        <v>-9.4814248198532205</v>
      </c>
    </row>
    <row r="833" spans="1:34" x14ac:dyDescent="0.2">
      <c r="A833" s="347">
        <f t="shared" ca="1" si="354"/>
        <v>1E-4</v>
      </c>
      <c r="B833" s="304">
        <f t="shared" ca="1" si="355"/>
        <v>36.631500000001253</v>
      </c>
      <c r="D833" s="306">
        <f t="shared" ca="1" si="356"/>
        <v>-0.50246270418794015</v>
      </c>
      <c r="E833" s="307">
        <f t="shared" ca="1" si="357"/>
        <v>-0.34188292378667029</v>
      </c>
      <c r="F833" s="304">
        <f t="shared" ca="1" si="358"/>
        <v>0.60774394499392559</v>
      </c>
      <c r="G833" s="306">
        <f t="shared" ca="1" si="359"/>
        <v>5.3298744535249707</v>
      </c>
      <c r="H833" s="307">
        <f t="shared" ca="1" si="360"/>
        <v>-100.43405773760693</v>
      </c>
      <c r="I833" s="304">
        <f t="shared" ca="1" si="361"/>
        <v>100.57538225297134</v>
      </c>
      <c r="J833" s="306">
        <f t="shared" ca="1" si="362"/>
        <v>711.72888807733182</v>
      </c>
      <c r="K833" s="307">
        <f t="shared" ca="1" si="363"/>
        <v>-11.605582680521705</v>
      </c>
      <c r="L833" s="304">
        <f t="shared" ca="1" si="348"/>
        <v>711.82350317557621</v>
      </c>
      <c r="M833" s="306">
        <f t="shared" ca="1" si="364"/>
        <v>-1.5177776637740958</v>
      </c>
      <c r="N833" s="304">
        <f t="shared" ca="1" si="365"/>
        <v>-86.962254373481784</v>
      </c>
      <c r="P833" s="310">
        <f t="shared" ca="1" si="366"/>
        <v>23</v>
      </c>
      <c r="Q833" s="304">
        <f t="shared" ca="1" si="367"/>
        <v>0</v>
      </c>
      <c r="R833" s="306">
        <f t="shared" ca="1" si="368"/>
        <v>0</v>
      </c>
      <c r="S833" s="307">
        <f t="shared" ca="1" si="369"/>
        <v>2.6792999999999987</v>
      </c>
      <c r="T833" s="304">
        <f t="shared" ca="1" si="349"/>
        <v>26.283932999999987</v>
      </c>
      <c r="U833" s="311">
        <f t="shared" ca="1" si="350"/>
        <v>0</v>
      </c>
      <c r="V833" s="306">
        <f t="shared" ca="1" si="351"/>
        <v>1.2264225093308465</v>
      </c>
      <c r="W833" s="304">
        <f t="shared" ca="1" si="352"/>
        <v>25.403664351099565</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0.31477483296674436</v>
      </c>
      <c r="AH833" s="304">
        <f t="shared" ca="1" si="376"/>
        <v>-9.4814402776151212</v>
      </c>
    </row>
    <row r="834" spans="1:34" x14ac:dyDescent="0.2">
      <c r="A834" s="347">
        <f t="shared" ca="1" si="354"/>
        <v>1E-4</v>
      </c>
      <c r="B834" s="304">
        <f t="shared" ca="1" si="355"/>
        <v>36.631600000001256</v>
      </c>
      <c r="D834" s="306">
        <f t="shared" ca="1" si="356"/>
        <v>-0.5024586292669655</v>
      </c>
      <c r="E834" s="307">
        <f t="shared" ca="1" si="357"/>
        <v>-0.34186722828294691</v>
      </c>
      <c r="F834" s="304">
        <f t="shared" ca="1" si="358"/>
        <v>0.60773174666023688</v>
      </c>
      <c r="G834" s="306">
        <f t="shared" ca="1" si="359"/>
        <v>5.3298242076620443</v>
      </c>
      <c r="H834" s="307">
        <f t="shared" ca="1" si="360"/>
        <v>-100.43409192432976</v>
      </c>
      <c r="I834" s="304">
        <f t="shared" ca="1" si="361"/>
        <v>100.57541372894919</v>
      </c>
      <c r="J834" s="306">
        <f t="shared" ca="1" si="362"/>
        <v>711.72888807733182</v>
      </c>
      <c r="K834" s="307">
        <f t="shared" ca="1" si="363"/>
        <v>-11.615626088004802</v>
      </c>
      <c r="L834" s="304">
        <f t="shared" ca="1" si="348"/>
        <v>711.82366699429951</v>
      </c>
      <c r="M834" s="306">
        <f t="shared" ca="1" si="364"/>
        <v>-1.5177781806692574</v>
      </c>
      <c r="N834" s="304">
        <f t="shared" ca="1" si="365"/>
        <v>-86.962283989393001</v>
      </c>
      <c r="P834" s="310">
        <f t="shared" ca="1" si="366"/>
        <v>23</v>
      </c>
      <c r="Q834" s="304">
        <f t="shared" ca="1" si="367"/>
        <v>0</v>
      </c>
      <c r="R834" s="306">
        <f t="shared" ca="1" si="368"/>
        <v>0</v>
      </c>
      <c r="S834" s="307">
        <f t="shared" ca="1" si="369"/>
        <v>2.6792999999999987</v>
      </c>
      <c r="T834" s="304">
        <f t="shared" ca="1" si="349"/>
        <v>26.283932999999987</v>
      </c>
      <c r="U834" s="311">
        <f t="shared" ca="1" si="350"/>
        <v>0</v>
      </c>
      <c r="V834" s="306">
        <f t="shared" ca="1" si="351"/>
        <v>1.226423741077981</v>
      </c>
      <c r="W834" s="304">
        <f t="shared" ca="1" si="352"/>
        <v>25.403705765688915</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0.31475964418665292</v>
      </c>
      <c r="AH834" s="304">
        <f t="shared" ca="1" si="376"/>
        <v>-9.4814557351172244</v>
      </c>
    </row>
    <row r="835" spans="1:34" x14ac:dyDescent="0.2">
      <c r="A835" s="347">
        <f t="shared" ca="1" si="354"/>
        <v>1E-4</v>
      </c>
      <c r="B835" s="304">
        <f t="shared" ca="1" si="355"/>
        <v>36.63170000000126</v>
      </c>
      <c r="D835" s="306">
        <f t="shared" ca="1" si="356"/>
        <v>-0.50245455436533348</v>
      </c>
      <c r="E835" s="307">
        <f t="shared" ca="1" si="357"/>
        <v>-0.34185153304293436</v>
      </c>
      <c r="F835" s="304">
        <f t="shared" ca="1" si="358"/>
        <v>0.60771954867872258</v>
      </c>
      <c r="G835" s="306">
        <f t="shared" ca="1" si="359"/>
        <v>5.329773962206608</v>
      </c>
      <c r="H835" s="307">
        <f t="shared" ca="1" si="360"/>
        <v>-100.43412610948307</v>
      </c>
      <c r="I835" s="304">
        <f t="shared" ca="1" si="361"/>
        <v>100.57544520340819</v>
      </c>
      <c r="J835" s="306">
        <f t="shared" ca="1" si="362"/>
        <v>711.72888807733182</v>
      </c>
      <c r="K835" s="307">
        <f t="shared" ca="1" si="363"/>
        <v>-11.625669498906493</v>
      </c>
      <c r="L835" s="304">
        <f t="shared" ca="1" si="348"/>
        <v>711.82383095474745</v>
      </c>
      <c r="M835" s="306">
        <f t="shared" ca="1" si="364"/>
        <v>-1.5177786975592227</v>
      </c>
      <c r="N835" s="304">
        <f t="shared" ca="1" si="365"/>
        <v>-86.962313605006486</v>
      </c>
      <c r="P835" s="310">
        <f t="shared" ca="1" si="366"/>
        <v>23</v>
      </c>
      <c r="Q835" s="304">
        <f t="shared" ca="1" si="367"/>
        <v>0</v>
      </c>
      <c r="R835" s="306">
        <f t="shared" ca="1" si="368"/>
        <v>0</v>
      </c>
      <c r="S835" s="307">
        <f t="shared" ca="1" si="369"/>
        <v>2.6792999999999987</v>
      </c>
      <c r="T835" s="304">
        <f t="shared" ca="1" si="349"/>
        <v>26.283932999999987</v>
      </c>
      <c r="U835" s="311">
        <f t="shared" ca="1" si="350"/>
        <v>0</v>
      </c>
      <c r="V835" s="306">
        <f t="shared" ca="1" si="351"/>
        <v>1.2264249728267727</v>
      </c>
      <c r="W835" s="304">
        <f t="shared" ca="1" si="352"/>
        <v>25.403747179582233</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0.31474445566102638</v>
      </c>
      <c r="AH835" s="304">
        <f t="shared" ca="1" si="376"/>
        <v>-9.4814711923595443</v>
      </c>
    </row>
    <row r="836" spans="1:34" x14ac:dyDescent="0.2">
      <c r="A836" s="347">
        <f t="shared" ca="1" si="354"/>
        <v>1E-4</v>
      </c>
      <c r="B836" s="304">
        <f t="shared" ca="1" si="355"/>
        <v>36.631800000001263</v>
      </c>
      <c r="D836" s="306">
        <f t="shared" ca="1" si="356"/>
        <v>-0.50245047948304311</v>
      </c>
      <c r="E836" s="307">
        <f t="shared" ca="1" si="357"/>
        <v>-0.34183583806662909</v>
      </c>
      <c r="F836" s="304">
        <f t="shared" ca="1" si="358"/>
        <v>0.60770735104938023</v>
      </c>
      <c r="G836" s="306">
        <f t="shared" ca="1" si="359"/>
        <v>5.32972371715866</v>
      </c>
      <c r="H836" s="307">
        <f t="shared" ca="1" si="360"/>
        <v>-100.43416029306688</v>
      </c>
      <c r="I836" s="304">
        <f t="shared" ca="1" si="361"/>
        <v>100.57547667634837</v>
      </c>
      <c r="J836" s="306">
        <f t="shared" ca="1" si="362"/>
        <v>711.72888807733182</v>
      </c>
      <c r="K836" s="307">
        <f t="shared" ca="1" si="363"/>
        <v>-11.635712913226621</v>
      </c>
      <c r="L836" s="304">
        <f t="shared" ref="L836:L899" ca="1" si="377">SQRT(pos_x^2+pos_z^2)</f>
        <v>711.82399505692001</v>
      </c>
      <c r="M836" s="306">
        <f t="shared" ca="1" si="364"/>
        <v>-1.5177792144439914</v>
      </c>
      <c r="N836" s="304">
        <f t="shared" ca="1" si="365"/>
        <v>-86.962343220322225</v>
      </c>
      <c r="P836" s="310">
        <f t="shared" ca="1" si="366"/>
        <v>23</v>
      </c>
      <c r="Q836" s="304">
        <f t="shared" ca="1" si="367"/>
        <v>0</v>
      </c>
      <c r="R836" s="306">
        <f t="shared" ca="1" si="368"/>
        <v>0</v>
      </c>
      <c r="S836" s="307">
        <f t="shared" ca="1" si="369"/>
        <v>2.6792999999999987</v>
      </c>
      <c r="T836" s="304">
        <f t="shared" ref="T836:T899" ca="1" si="378">m*g</f>
        <v>26.283932999999987</v>
      </c>
      <c r="U836" s="311">
        <f t="shared" ref="U836:U899" ca="1" si="379">IF(pos_xz&lt;L_rampe,Poids*COS(Beta),0)</f>
        <v>0</v>
      </c>
      <c r="V836" s="306">
        <f t="shared" ref="V836:V899" ca="1" si="380">Rho_moyen*(20000-Alt_rampe-pos_z)/(20000+Alt_rampe+pos_z)</f>
        <v>1.2264262045772212</v>
      </c>
      <c r="W836" s="304">
        <f t="shared" ref="W836:W899" ca="1" si="381">1/2*Rho*Sref*Cx*vit_xz^2</f>
        <v>25.403788592779527</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0.31472926738986118</v>
      </c>
      <c r="AH836" s="304">
        <f t="shared" ca="1" si="376"/>
        <v>-9.4814866493420844</v>
      </c>
    </row>
    <row r="837" spans="1:34" x14ac:dyDescent="0.2">
      <c r="A837" s="347">
        <f t="shared" ref="A837:A900" ca="1" si="383">IF(B836+0.01&lt;=T_ini+ROUNDUP(Temps_fin_propu,0), 0.01, IF(K836&gt;0, 0.1, 0.0001))</f>
        <v>1E-4</v>
      </c>
      <c r="B837" s="304">
        <f t="shared" ref="B837:B900" ca="1" si="384">B836+pas</f>
        <v>36.631900000001266</v>
      </c>
      <c r="D837" s="306">
        <f t="shared" ref="D837:D900" ca="1" si="385">IF(AND(L836&lt;L_rampe,Poussee&lt;Poids*SIN(M836)),0,(-W836+Poussee)/m*COS(M836)-U836/m*SIN(M836))</f>
        <v>-0.50244640462009693</v>
      </c>
      <c r="E837" s="307">
        <f t="shared" ref="E837:E900" ca="1" si="386">IF(AND(L836&lt;L_rampe,Poussee&lt;Poids*SIN(M836)),0,(-W836+Poussee)/m*SIN(M836)+U836/m*COS(M836)-Poids/m)</f>
        <v>-0.34182014335403466</v>
      </c>
      <c r="F837" s="304">
        <f t="shared" ref="F837:F900" ca="1" si="387">SQRT(acc_x^2+acc_z^2)</f>
        <v>0.60769515377221406</v>
      </c>
      <c r="G837" s="306">
        <f t="shared" ref="G837:G900" ca="1" si="388">G836+acc_x*pas</f>
        <v>5.3296734725181976</v>
      </c>
      <c r="H837" s="307">
        <f t="shared" ref="H837:H900" ca="1" si="389">H836+acc_z*pas</f>
        <v>-100.43419447508121</v>
      </c>
      <c r="I837" s="304">
        <f t="shared" ref="I837:I900" ca="1" si="390">SQRT(vit_x^2+vit_z^2)</f>
        <v>100.57550814776974</v>
      </c>
      <c r="J837" s="306">
        <f t="shared" ref="J837:J900" ca="1" si="391">J836+0.5*(vit_x+G836)*pas*(K836&gt;=0)</f>
        <v>711.72888807733182</v>
      </c>
      <c r="K837" s="307">
        <f t="shared" ref="K837:K900" ca="1" si="392">K836+0.5*(vit_z+H836)*pas</f>
        <v>-11.645756330965028</v>
      </c>
      <c r="L837" s="304">
        <f t="shared" ca="1" si="377"/>
        <v>711.82415930081731</v>
      </c>
      <c r="M837" s="306">
        <f t="shared" ref="M837:M900" ca="1" si="393">IF(AND(L836&gt;L_rampe,G837&gt;0),ATAN2(G837,H837),$M$4)</f>
        <v>-1.5177797313235641</v>
      </c>
      <c r="N837" s="304">
        <f t="shared" ref="N837:N900" ca="1" si="394">DEGREES(Beta)</f>
        <v>-86.962372835340261</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2.6792999999999987</v>
      </c>
      <c r="T837" s="304">
        <f t="shared" ca="1" si="378"/>
        <v>26.283932999999987</v>
      </c>
      <c r="U837" s="311">
        <f t="shared" ca="1" si="379"/>
        <v>0</v>
      </c>
      <c r="V837" s="306">
        <f t="shared" ca="1" si="380"/>
        <v>1.226427436329327</v>
      </c>
      <c r="W837" s="304">
        <f t="shared" ca="1" si="381"/>
        <v>25.403830005280795</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0.31471407937315554</v>
      </c>
      <c r="AH837" s="304">
        <f t="shared" ref="AH837:AH900" ca="1" si="405">IF(AND(L836&lt;L_rampe,Poussee&lt;Poids*SIN(M836)), g*SIN(M836), (-W836+Poussee)/m)</f>
        <v>-9.4815021060648448</v>
      </c>
    </row>
    <row r="838" spans="1:34" x14ac:dyDescent="0.2">
      <c r="A838" s="347">
        <f t="shared" ca="1" si="383"/>
        <v>1E-4</v>
      </c>
      <c r="B838" s="304">
        <f t="shared" ca="1" si="384"/>
        <v>36.63200000000127</v>
      </c>
      <c r="D838" s="306">
        <f t="shared" ca="1" si="385"/>
        <v>-0.5024423297764915</v>
      </c>
      <c r="E838" s="307">
        <f t="shared" ca="1" si="386"/>
        <v>-0.34180444890514572</v>
      </c>
      <c r="F838" s="304">
        <f t="shared" ca="1" si="387"/>
        <v>0.60768295684721896</v>
      </c>
      <c r="G838" s="306">
        <f t="shared" ca="1" si="388"/>
        <v>5.3296232282852198</v>
      </c>
      <c r="H838" s="307">
        <f t="shared" ca="1" si="389"/>
        <v>-100.4342286555261</v>
      </c>
      <c r="I838" s="304">
        <f t="shared" ca="1" si="390"/>
        <v>100.57553961767233</v>
      </c>
      <c r="J838" s="306">
        <f t="shared" ca="1" si="391"/>
        <v>711.72888807733182</v>
      </c>
      <c r="K838" s="307">
        <f t="shared" ca="1" si="392"/>
        <v>-11.655799752121558</v>
      </c>
      <c r="L838" s="304">
        <f t="shared" ca="1" si="377"/>
        <v>711.82432368643924</v>
      </c>
      <c r="M838" s="306">
        <f t="shared" ca="1" si="393"/>
        <v>-1.5177802481979406</v>
      </c>
      <c r="N838" s="304">
        <f t="shared" ca="1" si="394"/>
        <v>-86.962402450060566</v>
      </c>
      <c r="P838" s="310">
        <f t="shared" ca="1" si="395"/>
        <v>23</v>
      </c>
      <c r="Q838" s="304">
        <f t="shared" ca="1" si="396"/>
        <v>0</v>
      </c>
      <c r="R838" s="306">
        <f t="shared" ca="1" si="397"/>
        <v>0</v>
      </c>
      <c r="S838" s="307">
        <f t="shared" ca="1" si="398"/>
        <v>2.6792999999999987</v>
      </c>
      <c r="T838" s="304">
        <f t="shared" ca="1" si="378"/>
        <v>26.283932999999987</v>
      </c>
      <c r="U838" s="311">
        <f t="shared" ca="1" si="379"/>
        <v>0</v>
      </c>
      <c r="V838" s="306">
        <f t="shared" ca="1" si="380"/>
        <v>1.2264286680830896</v>
      </c>
      <c r="W838" s="304">
        <f t="shared" ca="1" si="381"/>
        <v>25.403871417086062</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0.31469889161091125</v>
      </c>
      <c r="AH838" s="304">
        <f t="shared" ca="1" si="405"/>
        <v>-9.4815175625278272</v>
      </c>
    </row>
    <row r="839" spans="1:34" x14ac:dyDescent="0.2">
      <c r="A839" s="347">
        <f t="shared" ca="1" si="383"/>
        <v>1E-4</v>
      </c>
      <c r="B839" s="304">
        <f t="shared" ca="1" si="384"/>
        <v>36.632100000001273</v>
      </c>
      <c r="D839" s="306">
        <f t="shared" ca="1" si="385"/>
        <v>-0.50243825495223016</v>
      </c>
      <c r="E839" s="307">
        <f t="shared" ca="1" si="386"/>
        <v>-0.34178875471995518</v>
      </c>
      <c r="F839" s="304">
        <f t="shared" ca="1" si="387"/>
        <v>0.60767076027439393</v>
      </c>
      <c r="G839" s="306">
        <f t="shared" ca="1" si="388"/>
        <v>5.329572984459725</v>
      </c>
      <c r="H839" s="307">
        <f t="shared" ca="1" si="389"/>
        <v>-100.43426283440157</v>
      </c>
      <c r="I839" s="304">
        <f t="shared" ca="1" si="390"/>
        <v>100.57557108605617</v>
      </c>
      <c r="J839" s="306">
        <f t="shared" ca="1" si="391"/>
        <v>711.72888807733182</v>
      </c>
      <c r="K839" s="307">
        <f t="shared" ca="1" si="392"/>
        <v>-11.665843176696054</v>
      </c>
      <c r="L839" s="304">
        <f t="shared" ca="1" si="377"/>
        <v>711.82448821378603</v>
      </c>
      <c r="M839" s="306">
        <f t="shared" ca="1" si="393"/>
        <v>-1.5177807650671207</v>
      </c>
      <c r="N839" s="304">
        <f t="shared" ca="1" si="394"/>
        <v>-86.962432064483153</v>
      </c>
      <c r="P839" s="310">
        <f t="shared" ca="1" si="395"/>
        <v>23</v>
      </c>
      <c r="Q839" s="304">
        <f t="shared" ca="1" si="396"/>
        <v>0</v>
      </c>
      <c r="R839" s="306">
        <f t="shared" ca="1" si="397"/>
        <v>0</v>
      </c>
      <c r="S839" s="307">
        <f t="shared" ca="1" si="398"/>
        <v>2.6792999999999987</v>
      </c>
      <c r="T839" s="304">
        <f t="shared" ca="1" si="378"/>
        <v>26.283932999999987</v>
      </c>
      <c r="U839" s="311">
        <f t="shared" ca="1" si="379"/>
        <v>0</v>
      </c>
      <c r="V839" s="306">
        <f t="shared" ca="1" si="380"/>
        <v>1.226429899838509</v>
      </c>
      <c r="W839" s="304">
        <f t="shared" ca="1" si="381"/>
        <v>25.403912828195313</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0.31468370410311763</v>
      </c>
      <c r="AH839" s="304">
        <f t="shared" ca="1" si="405"/>
        <v>-9.4815330187310405</v>
      </c>
    </row>
    <row r="840" spans="1:34" x14ac:dyDescent="0.2">
      <c r="A840" s="347">
        <f t="shared" ca="1" si="383"/>
        <v>1E-4</v>
      </c>
      <c r="B840" s="304">
        <f t="shared" ca="1" si="384"/>
        <v>36.632200000001276</v>
      </c>
      <c r="D840" s="306">
        <f t="shared" ca="1" si="385"/>
        <v>-0.50243418014731311</v>
      </c>
      <c r="E840" s="307">
        <f t="shared" ca="1" si="386"/>
        <v>-0.34177306079846836</v>
      </c>
      <c r="F840" s="304">
        <f t="shared" ca="1" si="387"/>
        <v>0.60765856405374241</v>
      </c>
      <c r="G840" s="306">
        <f t="shared" ca="1" si="388"/>
        <v>5.3295227410417105</v>
      </c>
      <c r="H840" s="307">
        <f t="shared" ca="1" si="389"/>
        <v>-100.43429701170764</v>
      </c>
      <c r="I840" s="304">
        <f t="shared" ca="1" si="390"/>
        <v>100.5756025529213</v>
      </c>
      <c r="J840" s="306">
        <f t="shared" ca="1" si="391"/>
        <v>711.72888807733182</v>
      </c>
      <c r="K840" s="307">
        <f t="shared" ca="1" si="392"/>
        <v>-11.67588660468836</v>
      </c>
      <c r="L840" s="304">
        <f t="shared" ca="1" si="377"/>
        <v>711.82465288285755</v>
      </c>
      <c r="M840" s="306">
        <f t="shared" ca="1" si="393"/>
        <v>-1.5177812819311047</v>
      </c>
      <c r="N840" s="304">
        <f t="shared" ca="1" si="394"/>
        <v>-86.962461678608022</v>
      </c>
      <c r="P840" s="310">
        <f t="shared" ca="1" si="395"/>
        <v>23</v>
      </c>
      <c r="Q840" s="304">
        <f t="shared" ca="1" si="396"/>
        <v>0</v>
      </c>
      <c r="R840" s="306">
        <f t="shared" ca="1" si="397"/>
        <v>0</v>
      </c>
      <c r="S840" s="307">
        <f t="shared" ca="1" si="398"/>
        <v>2.6792999999999987</v>
      </c>
      <c r="T840" s="304">
        <f t="shared" ca="1" si="378"/>
        <v>26.283932999999987</v>
      </c>
      <c r="U840" s="311">
        <f t="shared" ca="1" si="379"/>
        <v>0</v>
      </c>
      <c r="V840" s="306">
        <f t="shared" ca="1" si="380"/>
        <v>1.2264311315955856</v>
      </c>
      <c r="W840" s="304">
        <f t="shared" ca="1" si="381"/>
        <v>25.403954238608598</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0.31466851684978003</v>
      </c>
      <c r="AH840" s="304">
        <f t="shared" ca="1" si="405"/>
        <v>-9.4815484746744776</v>
      </c>
    </row>
    <row r="841" spans="1:34" x14ac:dyDescent="0.2">
      <c r="A841" s="347">
        <f t="shared" ca="1" si="383"/>
        <v>1E-4</v>
      </c>
      <c r="B841" s="304">
        <f t="shared" ca="1" si="384"/>
        <v>36.63230000000128</v>
      </c>
      <c r="D841" s="306">
        <f t="shared" ca="1" si="385"/>
        <v>-0.50243010536173993</v>
      </c>
      <c r="E841" s="307">
        <f t="shared" ca="1" si="386"/>
        <v>-0.34175736714066751</v>
      </c>
      <c r="F841" s="304">
        <f t="shared" ca="1" si="387"/>
        <v>0.60764636818525475</v>
      </c>
      <c r="G841" s="306">
        <f t="shared" ca="1" si="388"/>
        <v>5.3294724980311745</v>
      </c>
      <c r="H841" s="307">
        <f t="shared" ca="1" si="389"/>
        <v>-100.43433118744436</v>
      </c>
      <c r="I841" s="304">
        <f t="shared" ca="1" si="390"/>
        <v>100.57563401826771</v>
      </c>
      <c r="J841" s="306">
        <f t="shared" ca="1" si="391"/>
        <v>711.72888807733182</v>
      </c>
      <c r="K841" s="307">
        <f t="shared" ca="1" si="392"/>
        <v>-11.685930036098318</v>
      </c>
      <c r="L841" s="304">
        <f t="shared" ca="1" si="377"/>
        <v>711.82481769365393</v>
      </c>
      <c r="M841" s="306">
        <f t="shared" ca="1" si="393"/>
        <v>-1.5177817987898929</v>
      </c>
      <c r="N841" s="304">
        <f t="shared" ca="1" si="394"/>
        <v>-86.962491292435189</v>
      </c>
      <c r="P841" s="310">
        <f t="shared" ca="1" si="395"/>
        <v>23</v>
      </c>
      <c r="Q841" s="304">
        <f t="shared" ca="1" si="396"/>
        <v>0</v>
      </c>
      <c r="R841" s="306">
        <f t="shared" ca="1" si="397"/>
        <v>0</v>
      </c>
      <c r="S841" s="307">
        <f t="shared" ca="1" si="398"/>
        <v>2.6792999999999987</v>
      </c>
      <c r="T841" s="304">
        <f t="shared" ca="1" si="378"/>
        <v>26.283932999999987</v>
      </c>
      <c r="U841" s="311">
        <f t="shared" ca="1" si="379"/>
        <v>0</v>
      </c>
      <c r="V841" s="306">
        <f t="shared" ca="1" si="380"/>
        <v>1.2264323633543195</v>
      </c>
      <c r="W841" s="304">
        <f t="shared" ca="1" si="381"/>
        <v>25.403995648325896</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0.31465332985088246</v>
      </c>
      <c r="AH841" s="304">
        <f t="shared" ca="1" si="405"/>
        <v>-9.481563930358158</v>
      </c>
    </row>
    <row r="842" spans="1:34" x14ac:dyDescent="0.2">
      <c r="A842" s="347">
        <f t="shared" ca="1" si="383"/>
        <v>1E-4</v>
      </c>
      <c r="B842" s="304">
        <f t="shared" ca="1" si="384"/>
        <v>36.632400000001283</v>
      </c>
      <c r="D842" s="306">
        <f t="shared" ca="1" si="385"/>
        <v>-0.50242603059550872</v>
      </c>
      <c r="E842" s="307">
        <f t="shared" ca="1" si="386"/>
        <v>-0.34174167374655973</v>
      </c>
      <c r="F842" s="304">
        <f t="shared" ca="1" si="387"/>
        <v>0.60763417266893338</v>
      </c>
      <c r="G842" s="306">
        <f t="shared" ca="1" si="388"/>
        <v>5.3294222554281152</v>
      </c>
      <c r="H842" s="307">
        <f t="shared" ca="1" si="389"/>
        <v>-100.43436536161173</v>
      </c>
      <c r="I842" s="304">
        <f t="shared" ca="1" si="390"/>
        <v>100.57566548209545</v>
      </c>
      <c r="J842" s="306">
        <f t="shared" ca="1" si="391"/>
        <v>711.72888807733182</v>
      </c>
      <c r="K842" s="307">
        <f t="shared" ca="1" si="392"/>
        <v>-11.695973470925772</v>
      </c>
      <c r="L842" s="304">
        <f t="shared" ca="1" si="377"/>
        <v>711.82498264617527</v>
      </c>
      <c r="M842" s="306">
        <f t="shared" ca="1" si="393"/>
        <v>-1.5177823156434851</v>
      </c>
      <c r="N842" s="304">
        <f t="shared" ca="1" si="394"/>
        <v>-86.962520905964638</v>
      </c>
      <c r="P842" s="310">
        <f t="shared" ca="1" si="395"/>
        <v>23</v>
      </c>
      <c r="Q842" s="304">
        <f t="shared" ca="1" si="396"/>
        <v>0</v>
      </c>
      <c r="R842" s="306">
        <f t="shared" ca="1" si="397"/>
        <v>0</v>
      </c>
      <c r="S842" s="307">
        <f t="shared" ca="1" si="398"/>
        <v>2.6792999999999987</v>
      </c>
      <c r="T842" s="304">
        <f t="shared" ca="1" si="378"/>
        <v>26.283932999999987</v>
      </c>
      <c r="U842" s="311">
        <f t="shared" ca="1" si="379"/>
        <v>0</v>
      </c>
      <c r="V842" s="306">
        <f t="shared" ca="1" si="380"/>
        <v>1.2264335951147103</v>
      </c>
      <c r="W842" s="304">
        <f t="shared" ca="1" si="381"/>
        <v>25.404037057347228</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0.31463814310643201</v>
      </c>
      <c r="AH842" s="304">
        <f t="shared" ca="1" si="405"/>
        <v>-9.4815793857820729</v>
      </c>
    </row>
    <row r="843" spans="1:34" x14ac:dyDescent="0.2">
      <c r="A843" s="347">
        <f t="shared" ca="1" si="383"/>
        <v>1E-4</v>
      </c>
      <c r="B843" s="304">
        <f t="shared" ca="1" si="384"/>
        <v>36.632500000001286</v>
      </c>
      <c r="D843" s="306">
        <f t="shared" ca="1" si="385"/>
        <v>-0.5024219558486227</v>
      </c>
      <c r="E843" s="307">
        <f t="shared" ca="1" si="386"/>
        <v>-0.34172598061613613</v>
      </c>
      <c r="F843" s="304">
        <f t="shared" ca="1" si="387"/>
        <v>0.60762197750477664</v>
      </c>
      <c r="G843" s="306">
        <f t="shared" ca="1" si="388"/>
        <v>5.32937201323253</v>
      </c>
      <c r="H843" s="307">
        <f t="shared" ca="1" si="389"/>
        <v>-100.43439953420979</v>
      </c>
      <c r="I843" s="304">
        <f t="shared" ca="1" si="390"/>
        <v>100.57569694440454</v>
      </c>
      <c r="J843" s="306">
        <f t="shared" ca="1" si="391"/>
        <v>711.72888807733182</v>
      </c>
      <c r="K843" s="307">
        <f t="shared" ca="1" si="392"/>
        <v>-11.706016909170563</v>
      </c>
      <c r="L843" s="304">
        <f t="shared" ca="1" si="377"/>
        <v>711.82514774042147</v>
      </c>
      <c r="M843" s="306">
        <f t="shared" ca="1" si="393"/>
        <v>-1.5177828324918812</v>
      </c>
      <c r="N843" s="304">
        <f t="shared" ca="1" si="394"/>
        <v>-86.962550519196384</v>
      </c>
      <c r="P843" s="310">
        <f t="shared" ca="1" si="395"/>
        <v>23</v>
      </c>
      <c r="Q843" s="304">
        <f t="shared" ca="1" si="396"/>
        <v>0</v>
      </c>
      <c r="R843" s="306">
        <f t="shared" ca="1" si="397"/>
        <v>0</v>
      </c>
      <c r="S843" s="307">
        <f t="shared" ca="1" si="398"/>
        <v>2.6792999999999987</v>
      </c>
      <c r="T843" s="304">
        <f t="shared" ca="1" si="378"/>
        <v>26.283932999999987</v>
      </c>
      <c r="U843" s="311">
        <f t="shared" ca="1" si="379"/>
        <v>0</v>
      </c>
      <c r="V843" s="306">
        <f t="shared" ca="1" si="380"/>
        <v>1.2264348268767575</v>
      </c>
      <c r="W843" s="304">
        <f t="shared" ca="1" si="381"/>
        <v>25.404078465672594</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0.31462295661641804</v>
      </c>
      <c r="AH843" s="304">
        <f t="shared" ca="1" si="405"/>
        <v>-9.4815948409462329</v>
      </c>
    </row>
    <row r="844" spans="1:34" x14ac:dyDescent="0.2">
      <c r="A844" s="347">
        <f t="shared" ca="1" si="383"/>
        <v>1E-4</v>
      </c>
      <c r="B844" s="304">
        <f t="shared" ca="1" si="384"/>
        <v>36.63260000000129</v>
      </c>
      <c r="D844" s="306">
        <f t="shared" ca="1" si="385"/>
        <v>-0.50241788112108243</v>
      </c>
      <c r="E844" s="307">
        <f t="shared" ca="1" si="386"/>
        <v>-0.34171028774940027</v>
      </c>
      <c r="F844" s="304">
        <f t="shared" ca="1" si="387"/>
        <v>0.6076097826927872</v>
      </c>
      <c r="G844" s="306">
        <f t="shared" ca="1" si="388"/>
        <v>5.3293217714444179</v>
      </c>
      <c r="H844" s="307">
        <f t="shared" ca="1" si="389"/>
        <v>-100.43443370523856</v>
      </c>
      <c r="I844" s="304">
        <f t="shared" ca="1" si="390"/>
        <v>100.57572840519501</v>
      </c>
      <c r="J844" s="306">
        <f t="shared" ca="1" si="391"/>
        <v>711.72888807733182</v>
      </c>
      <c r="K844" s="307">
        <f t="shared" ca="1" si="392"/>
        <v>-11.716060350832535</v>
      </c>
      <c r="L844" s="304">
        <f t="shared" ca="1" si="377"/>
        <v>711.82531297639275</v>
      </c>
      <c r="M844" s="306">
        <f t="shared" ca="1" si="393"/>
        <v>-1.5177833493350816</v>
      </c>
      <c r="N844" s="304">
        <f t="shared" ca="1" si="394"/>
        <v>-86.962580132130441</v>
      </c>
      <c r="P844" s="310">
        <f t="shared" ca="1" si="395"/>
        <v>23</v>
      </c>
      <c r="Q844" s="304">
        <f t="shared" ca="1" si="396"/>
        <v>0</v>
      </c>
      <c r="R844" s="306">
        <f t="shared" ca="1" si="397"/>
        <v>0</v>
      </c>
      <c r="S844" s="307">
        <f t="shared" ca="1" si="398"/>
        <v>2.6792999999999987</v>
      </c>
      <c r="T844" s="304">
        <f t="shared" ca="1" si="378"/>
        <v>26.283932999999987</v>
      </c>
      <c r="U844" s="311">
        <f t="shared" ca="1" si="379"/>
        <v>0</v>
      </c>
      <c r="V844" s="306">
        <f t="shared" ca="1" si="380"/>
        <v>1.2264360586404617</v>
      </c>
      <c r="W844" s="304">
        <f t="shared" ca="1" si="381"/>
        <v>25.404119873302005</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0.31460777038084409</v>
      </c>
      <c r="AH844" s="304">
        <f t="shared" ca="1" si="405"/>
        <v>-9.4816102958506345</v>
      </c>
    </row>
    <row r="845" spans="1:34" x14ac:dyDescent="0.2">
      <c r="A845" s="347">
        <f t="shared" ca="1" si="383"/>
        <v>1E-4</v>
      </c>
      <c r="B845" s="304">
        <f t="shared" ca="1" si="384"/>
        <v>36.632700000001293</v>
      </c>
      <c r="D845" s="306">
        <f t="shared" ca="1" si="385"/>
        <v>-0.50241380641288469</v>
      </c>
      <c r="E845" s="307">
        <f t="shared" ca="1" si="386"/>
        <v>-0.34169459514634326</v>
      </c>
      <c r="F845" s="304">
        <f t="shared" ca="1" si="387"/>
        <v>0.60759758823295784</v>
      </c>
      <c r="G845" s="306">
        <f t="shared" ca="1" si="388"/>
        <v>5.3292715300637763</v>
      </c>
      <c r="H845" s="307">
        <f t="shared" ca="1" si="389"/>
        <v>-100.43446787469807</v>
      </c>
      <c r="I845" s="304">
        <f t="shared" ca="1" si="390"/>
        <v>100.57575986446687</v>
      </c>
      <c r="J845" s="306">
        <f t="shared" ca="1" si="391"/>
        <v>711.72888807733182</v>
      </c>
      <c r="K845" s="307">
        <f t="shared" ca="1" si="392"/>
        <v>-11.726103795911532</v>
      </c>
      <c r="L845" s="304">
        <f t="shared" ca="1" si="377"/>
        <v>711.825478354089</v>
      </c>
      <c r="M845" s="306">
        <f t="shared" ca="1" si="393"/>
        <v>-1.5177838661730862</v>
      </c>
      <c r="N845" s="304">
        <f t="shared" ca="1" si="394"/>
        <v>-86.962609744766795</v>
      </c>
      <c r="P845" s="310">
        <f t="shared" ca="1" si="395"/>
        <v>23</v>
      </c>
      <c r="Q845" s="304">
        <f t="shared" ca="1" si="396"/>
        <v>0</v>
      </c>
      <c r="R845" s="306">
        <f t="shared" ca="1" si="397"/>
        <v>0</v>
      </c>
      <c r="S845" s="307">
        <f t="shared" ca="1" si="398"/>
        <v>2.6792999999999987</v>
      </c>
      <c r="T845" s="304">
        <f t="shared" ca="1" si="378"/>
        <v>26.283932999999987</v>
      </c>
      <c r="U845" s="311">
        <f t="shared" ca="1" si="379"/>
        <v>0</v>
      </c>
      <c r="V845" s="306">
        <f t="shared" ca="1" si="380"/>
        <v>1.2264372904058234</v>
      </c>
      <c r="W845" s="304">
        <f t="shared" ca="1" si="381"/>
        <v>25.404161280235488</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0.31459258439970483</v>
      </c>
      <c r="AH845" s="304">
        <f t="shared" ca="1" si="405"/>
        <v>-9.4816257504952848</v>
      </c>
    </row>
    <row r="846" spans="1:34" x14ac:dyDescent="0.2">
      <c r="A846" s="347">
        <f t="shared" ca="1" si="383"/>
        <v>1E-4</v>
      </c>
      <c r="B846" s="304">
        <f t="shared" ca="1" si="384"/>
        <v>36.632800000001296</v>
      </c>
      <c r="D846" s="306">
        <f t="shared" ca="1" si="385"/>
        <v>-0.50240973172403269</v>
      </c>
      <c r="E846" s="307">
        <f t="shared" ca="1" si="386"/>
        <v>-0.34167890280695623</v>
      </c>
      <c r="F846" s="304">
        <f t="shared" ca="1" si="387"/>
        <v>0.60758539412528667</v>
      </c>
      <c r="G846" s="306">
        <f t="shared" ca="1" si="388"/>
        <v>5.3292212890906043</v>
      </c>
      <c r="H846" s="307">
        <f t="shared" ca="1" si="389"/>
        <v>-100.43450204258835</v>
      </c>
      <c r="I846" s="304">
        <f t="shared" ca="1" si="390"/>
        <v>100.57579132222018</v>
      </c>
      <c r="J846" s="306">
        <f t="shared" ca="1" si="391"/>
        <v>711.72888807733182</v>
      </c>
      <c r="K846" s="307">
        <f t="shared" ca="1" si="392"/>
        <v>-11.736147244407396</v>
      </c>
      <c r="L846" s="304">
        <f t="shared" ca="1" si="377"/>
        <v>711.82564387351033</v>
      </c>
      <c r="M846" s="306">
        <f t="shared" ca="1" si="393"/>
        <v>-1.517784383005895</v>
      </c>
      <c r="N846" s="304">
        <f t="shared" ca="1" si="394"/>
        <v>-86.962639357105459</v>
      </c>
      <c r="P846" s="310">
        <f t="shared" ca="1" si="395"/>
        <v>23</v>
      </c>
      <c r="Q846" s="304">
        <f t="shared" ca="1" si="396"/>
        <v>0</v>
      </c>
      <c r="R846" s="306">
        <f t="shared" ca="1" si="397"/>
        <v>0</v>
      </c>
      <c r="S846" s="307">
        <f t="shared" ca="1" si="398"/>
        <v>2.6792999999999987</v>
      </c>
      <c r="T846" s="304">
        <f t="shared" ca="1" si="378"/>
        <v>26.283932999999987</v>
      </c>
      <c r="U846" s="311">
        <f t="shared" ca="1" si="379"/>
        <v>0</v>
      </c>
      <c r="V846" s="306">
        <f t="shared" ca="1" si="380"/>
        <v>1.2264385221728418</v>
      </c>
      <c r="W846" s="304">
        <f t="shared" ca="1" si="381"/>
        <v>25.404202686473049</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0.31457739867299139</v>
      </c>
      <c r="AH846" s="304">
        <f t="shared" ca="1" si="405"/>
        <v>-9.4816412048801926</v>
      </c>
    </row>
    <row r="847" spans="1:34" x14ac:dyDescent="0.2">
      <c r="A847" s="347">
        <f t="shared" ca="1" si="383"/>
        <v>1E-4</v>
      </c>
      <c r="B847" s="304">
        <f t="shared" ca="1" si="384"/>
        <v>36.6329000000013</v>
      </c>
      <c r="D847" s="306">
        <f t="shared" ca="1" si="385"/>
        <v>-0.50240565705452722</v>
      </c>
      <c r="E847" s="307">
        <f t="shared" ca="1" si="386"/>
        <v>-0.3416632107312374</v>
      </c>
      <c r="F847" s="304">
        <f t="shared" ca="1" si="387"/>
        <v>0.60757320036977369</v>
      </c>
      <c r="G847" s="306">
        <f t="shared" ca="1" si="388"/>
        <v>5.3291710485248993</v>
      </c>
      <c r="H847" s="307">
        <f t="shared" ca="1" si="389"/>
        <v>-100.43453620890942</v>
      </c>
      <c r="I847" s="304">
        <f t="shared" ca="1" si="390"/>
        <v>100.57582277845492</v>
      </c>
      <c r="J847" s="306">
        <f t="shared" ca="1" si="391"/>
        <v>711.72888807733182</v>
      </c>
      <c r="K847" s="307">
        <f t="shared" ca="1" si="392"/>
        <v>-11.746190696319971</v>
      </c>
      <c r="L847" s="304">
        <f t="shared" ca="1" si="377"/>
        <v>711.82580953465674</v>
      </c>
      <c r="M847" s="306">
        <f t="shared" ca="1" si="393"/>
        <v>-1.5177848998335082</v>
      </c>
      <c r="N847" s="304">
        <f t="shared" ca="1" si="394"/>
        <v>-86.962668969146421</v>
      </c>
      <c r="P847" s="310">
        <f t="shared" ca="1" si="395"/>
        <v>23</v>
      </c>
      <c r="Q847" s="304">
        <f t="shared" ca="1" si="396"/>
        <v>0</v>
      </c>
      <c r="R847" s="306">
        <f t="shared" ca="1" si="397"/>
        <v>0</v>
      </c>
      <c r="S847" s="307">
        <f t="shared" ca="1" si="398"/>
        <v>2.6792999999999987</v>
      </c>
      <c r="T847" s="304">
        <f t="shared" ca="1" si="378"/>
        <v>26.283932999999987</v>
      </c>
      <c r="U847" s="311">
        <f t="shared" ca="1" si="379"/>
        <v>0</v>
      </c>
      <c r="V847" s="306">
        <f t="shared" ca="1" si="380"/>
        <v>1.2264397539415173</v>
      </c>
      <c r="W847" s="304">
        <f t="shared" ca="1" si="381"/>
        <v>25.404244092014672</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0.31456221320070021</v>
      </c>
      <c r="AH847" s="304">
        <f t="shared" ca="1" si="405"/>
        <v>-9.4816566590053597</v>
      </c>
    </row>
    <row r="848" spans="1:34" x14ac:dyDescent="0.2">
      <c r="A848" s="347">
        <f t="shared" ca="1" si="383"/>
        <v>1E-4</v>
      </c>
      <c r="B848" s="304">
        <f t="shared" ca="1" si="384"/>
        <v>36.633000000001303</v>
      </c>
      <c r="D848" s="306">
        <f t="shared" ca="1" si="385"/>
        <v>-0.50240158240436661</v>
      </c>
      <c r="E848" s="307">
        <f t="shared" ca="1" si="386"/>
        <v>-0.34164751891919565</v>
      </c>
      <c r="F848" s="304">
        <f t="shared" ca="1" si="387"/>
        <v>0.60756100696642279</v>
      </c>
      <c r="G848" s="306">
        <f t="shared" ca="1" si="388"/>
        <v>5.3291208083666586</v>
      </c>
      <c r="H848" s="307">
        <f t="shared" ca="1" si="389"/>
        <v>-100.43457037366132</v>
      </c>
      <c r="I848" s="304">
        <f t="shared" ca="1" si="390"/>
        <v>100.57585423317117</v>
      </c>
      <c r="J848" s="306">
        <f t="shared" ca="1" si="391"/>
        <v>711.72888807733182</v>
      </c>
      <c r="K848" s="307">
        <f t="shared" ca="1" si="392"/>
        <v>-11.7562341516491</v>
      </c>
      <c r="L848" s="304">
        <f t="shared" ca="1" si="377"/>
        <v>711.82597533752835</v>
      </c>
      <c r="M848" s="306">
        <f t="shared" ca="1" si="393"/>
        <v>-1.5177854166559257</v>
      </c>
      <c r="N848" s="304">
        <f t="shared" ca="1" si="394"/>
        <v>-86.962698580889708</v>
      </c>
      <c r="P848" s="310">
        <f t="shared" ca="1" si="395"/>
        <v>23</v>
      </c>
      <c r="Q848" s="304">
        <f t="shared" ca="1" si="396"/>
        <v>0</v>
      </c>
      <c r="R848" s="306">
        <f t="shared" ca="1" si="397"/>
        <v>0</v>
      </c>
      <c r="S848" s="307">
        <f t="shared" ca="1" si="398"/>
        <v>2.6792999999999987</v>
      </c>
      <c r="T848" s="304">
        <f t="shared" ca="1" si="378"/>
        <v>26.283932999999987</v>
      </c>
      <c r="U848" s="311">
        <f t="shared" ca="1" si="379"/>
        <v>0</v>
      </c>
      <c r="V848" s="306">
        <f t="shared" ca="1" si="380"/>
        <v>1.226440985711849</v>
      </c>
      <c r="W848" s="304">
        <f t="shared" ca="1" si="381"/>
        <v>25.404285496860386</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0.31454702798283662</v>
      </c>
      <c r="AH848" s="304">
        <f t="shared" ca="1" si="405"/>
        <v>-9.4816721128707808</v>
      </c>
    </row>
    <row r="849" spans="1:34" x14ac:dyDescent="0.2">
      <c r="A849" s="347">
        <f t="shared" ca="1" si="383"/>
        <v>1E-4</v>
      </c>
      <c r="B849" s="304">
        <f t="shared" ca="1" si="384"/>
        <v>36.633100000001306</v>
      </c>
      <c r="D849" s="306">
        <f t="shared" ca="1" si="385"/>
        <v>-0.50239750777355174</v>
      </c>
      <c r="E849" s="307">
        <f t="shared" ca="1" si="386"/>
        <v>-0.34163182737081499</v>
      </c>
      <c r="F849" s="304">
        <f t="shared" ca="1" si="387"/>
        <v>0.6075488139152263</v>
      </c>
      <c r="G849" s="306">
        <f t="shared" ca="1" si="388"/>
        <v>5.3290705686158812</v>
      </c>
      <c r="H849" s="307">
        <f t="shared" ca="1" si="389"/>
        <v>-100.43460453684405</v>
      </c>
      <c r="I849" s="304">
        <f t="shared" ca="1" si="390"/>
        <v>100.57588568636889</v>
      </c>
      <c r="J849" s="306">
        <f t="shared" ca="1" si="391"/>
        <v>711.72888807733182</v>
      </c>
      <c r="K849" s="307">
        <f t="shared" ca="1" si="392"/>
        <v>-11.766277610394624</v>
      </c>
      <c r="L849" s="304">
        <f t="shared" ca="1" si="377"/>
        <v>711.82614128212515</v>
      </c>
      <c r="M849" s="306">
        <f t="shared" ca="1" si="393"/>
        <v>-1.5177859334731478</v>
      </c>
      <c r="N849" s="304">
        <f t="shared" ca="1" si="394"/>
        <v>-86.962728192335319</v>
      </c>
      <c r="P849" s="310">
        <f t="shared" ca="1" si="395"/>
        <v>23</v>
      </c>
      <c r="Q849" s="304">
        <f t="shared" ca="1" si="396"/>
        <v>0</v>
      </c>
      <c r="R849" s="306">
        <f t="shared" ca="1" si="397"/>
        <v>0</v>
      </c>
      <c r="S849" s="307">
        <f t="shared" ca="1" si="398"/>
        <v>2.6792999999999987</v>
      </c>
      <c r="T849" s="304">
        <f t="shared" ca="1" si="378"/>
        <v>26.283932999999987</v>
      </c>
      <c r="U849" s="311">
        <f t="shared" ca="1" si="379"/>
        <v>0</v>
      </c>
      <c r="V849" s="306">
        <f t="shared" ca="1" si="380"/>
        <v>1.2264422174838379</v>
      </c>
      <c r="W849" s="304">
        <f t="shared" ca="1" si="381"/>
        <v>25.404326901010197</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0.31453184301938997</v>
      </c>
      <c r="AH849" s="304">
        <f t="shared" ca="1" si="405"/>
        <v>-9.4816875664764666</v>
      </c>
    </row>
    <row r="850" spans="1:34" x14ac:dyDescent="0.2">
      <c r="A850" s="347">
        <f t="shared" ca="1" si="383"/>
        <v>1E-4</v>
      </c>
      <c r="B850" s="304">
        <f t="shared" ca="1" si="384"/>
        <v>36.63320000000131</v>
      </c>
      <c r="D850" s="306">
        <f t="shared" ca="1" si="385"/>
        <v>-0.50239343316208174</v>
      </c>
      <c r="E850" s="307">
        <f t="shared" ca="1" si="386"/>
        <v>-0.34161613608609365</v>
      </c>
      <c r="F850" s="304">
        <f t="shared" ca="1" si="387"/>
        <v>0.60753662121618279</v>
      </c>
      <c r="G850" s="306">
        <f t="shared" ca="1" si="388"/>
        <v>5.3290203292725646</v>
      </c>
      <c r="H850" s="307">
        <f t="shared" ca="1" si="389"/>
        <v>-100.43463869845766</v>
      </c>
      <c r="I850" s="304">
        <f t="shared" ca="1" si="390"/>
        <v>100.57591713804817</v>
      </c>
      <c r="J850" s="306">
        <f t="shared" ca="1" si="391"/>
        <v>711.72888807733182</v>
      </c>
      <c r="K850" s="307">
        <f t="shared" ca="1" si="392"/>
        <v>-11.776321072556389</v>
      </c>
      <c r="L850" s="304">
        <f t="shared" ca="1" si="377"/>
        <v>711.82630736844715</v>
      </c>
      <c r="M850" s="306">
        <f t="shared" ca="1" si="393"/>
        <v>-1.5177864502851743</v>
      </c>
      <c r="N850" s="304">
        <f t="shared" ca="1" si="394"/>
        <v>-86.962757803483228</v>
      </c>
      <c r="P850" s="310">
        <f t="shared" ca="1" si="395"/>
        <v>23</v>
      </c>
      <c r="Q850" s="304">
        <f t="shared" ca="1" si="396"/>
        <v>0</v>
      </c>
      <c r="R850" s="306">
        <f t="shared" ca="1" si="397"/>
        <v>0</v>
      </c>
      <c r="S850" s="307">
        <f t="shared" ca="1" si="398"/>
        <v>2.6792999999999987</v>
      </c>
      <c r="T850" s="304">
        <f t="shared" ca="1" si="378"/>
        <v>26.283932999999987</v>
      </c>
      <c r="U850" s="311">
        <f t="shared" ca="1" si="379"/>
        <v>0</v>
      </c>
      <c r="V850" s="306">
        <f t="shared" ca="1" si="380"/>
        <v>1.2264434492574838</v>
      </c>
      <c r="W850" s="304">
        <f t="shared" ca="1" si="381"/>
        <v>25.404368304464132</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0.31451665831036202</v>
      </c>
      <c r="AH850" s="304">
        <f t="shared" ca="1" si="405"/>
        <v>-9.4817030198224206</v>
      </c>
    </row>
    <row r="851" spans="1:34" x14ac:dyDescent="0.2">
      <c r="A851" s="347">
        <f t="shared" ca="1" si="383"/>
        <v>1E-4</v>
      </c>
      <c r="B851" s="304">
        <f t="shared" ca="1" si="384"/>
        <v>36.633300000001313</v>
      </c>
      <c r="D851" s="306">
        <f t="shared" ca="1" si="385"/>
        <v>-0.50238935856995959</v>
      </c>
      <c r="E851" s="307">
        <f t="shared" ca="1" si="386"/>
        <v>-0.34160044506502629</v>
      </c>
      <c r="F851" s="304">
        <f t="shared" ca="1" si="387"/>
        <v>0.60752442886929203</v>
      </c>
      <c r="G851" s="306">
        <f t="shared" ca="1" si="388"/>
        <v>5.3289700903367079</v>
      </c>
      <c r="H851" s="307">
        <f t="shared" ca="1" si="389"/>
        <v>-100.43467285850217</v>
      </c>
      <c r="I851" s="304">
        <f t="shared" ca="1" si="390"/>
        <v>100.57594858820897</v>
      </c>
      <c r="J851" s="306">
        <f t="shared" ca="1" si="391"/>
        <v>711.72888807733182</v>
      </c>
      <c r="K851" s="307">
        <f t="shared" ca="1" si="392"/>
        <v>-11.786364538134237</v>
      </c>
      <c r="L851" s="304">
        <f t="shared" ca="1" si="377"/>
        <v>711.82647359649457</v>
      </c>
      <c r="M851" s="306">
        <f t="shared" ca="1" si="393"/>
        <v>-1.5177869670920054</v>
      </c>
      <c r="N851" s="304">
        <f t="shared" ca="1" si="394"/>
        <v>-86.962787414333476</v>
      </c>
      <c r="P851" s="310">
        <f t="shared" ca="1" si="395"/>
        <v>23</v>
      </c>
      <c r="Q851" s="304">
        <f t="shared" ca="1" si="396"/>
        <v>0</v>
      </c>
      <c r="R851" s="306">
        <f t="shared" ca="1" si="397"/>
        <v>0</v>
      </c>
      <c r="S851" s="307">
        <f t="shared" ca="1" si="398"/>
        <v>2.6792999999999987</v>
      </c>
      <c r="T851" s="304">
        <f t="shared" ca="1" si="378"/>
        <v>26.283932999999987</v>
      </c>
      <c r="U851" s="311">
        <f t="shared" ca="1" si="379"/>
        <v>0</v>
      </c>
      <c r="V851" s="306">
        <f t="shared" ca="1" si="380"/>
        <v>1.226444681032786</v>
      </c>
      <c r="W851" s="304">
        <f t="shared" ca="1" si="381"/>
        <v>25.404409707222154</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0.31450147385573857</v>
      </c>
      <c r="AH851" s="304">
        <f t="shared" ca="1" si="405"/>
        <v>-9.4817184729086499</v>
      </c>
    </row>
    <row r="852" spans="1:34" x14ac:dyDescent="0.2">
      <c r="A852" s="347">
        <f t="shared" ca="1" si="383"/>
        <v>1E-4</v>
      </c>
      <c r="B852" s="304">
        <f t="shared" ca="1" si="384"/>
        <v>36.633400000001316</v>
      </c>
      <c r="D852" s="306">
        <f t="shared" ca="1" si="385"/>
        <v>-0.50238528399718307</v>
      </c>
      <c r="E852" s="307">
        <f t="shared" ca="1" si="386"/>
        <v>-0.34158475430762358</v>
      </c>
      <c r="F852" s="304">
        <f t="shared" ca="1" si="387"/>
        <v>0.60751223687455869</v>
      </c>
      <c r="G852" s="306">
        <f t="shared" ca="1" si="388"/>
        <v>5.3289198518083083</v>
      </c>
      <c r="H852" s="307">
        <f t="shared" ca="1" si="389"/>
        <v>-100.4347070169776</v>
      </c>
      <c r="I852" s="304">
        <f t="shared" ca="1" si="390"/>
        <v>100.57598003685138</v>
      </c>
      <c r="J852" s="306">
        <f t="shared" ca="1" si="391"/>
        <v>711.72888807733182</v>
      </c>
      <c r="K852" s="307">
        <f t="shared" ca="1" si="392"/>
        <v>-11.79640800712801</v>
      </c>
      <c r="L852" s="304">
        <f t="shared" ca="1" si="377"/>
        <v>711.82663996626718</v>
      </c>
      <c r="M852" s="306">
        <f t="shared" ca="1" si="393"/>
        <v>-1.5177874838936412</v>
      </c>
      <c r="N852" s="304">
        <f t="shared" ca="1" si="394"/>
        <v>-86.96281702488605</v>
      </c>
      <c r="P852" s="310">
        <f t="shared" ca="1" si="395"/>
        <v>23</v>
      </c>
      <c r="Q852" s="304">
        <f t="shared" ca="1" si="396"/>
        <v>0</v>
      </c>
      <c r="R852" s="306">
        <f t="shared" ca="1" si="397"/>
        <v>0</v>
      </c>
      <c r="S852" s="307">
        <f t="shared" ca="1" si="398"/>
        <v>2.6792999999999987</v>
      </c>
      <c r="T852" s="304">
        <f t="shared" ca="1" si="378"/>
        <v>26.283932999999987</v>
      </c>
      <c r="U852" s="311">
        <f t="shared" ca="1" si="379"/>
        <v>0</v>
      </c>
      <c r="V852" s="306">
        <f t="shared" ca="1" si="380"/>
        <v>1.2264459128097456</v>
      </c>
      <c r="W852" s="304">
        <f t="shared" ca="1" si="381"/>
        <v>25.404451109284327</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0.3144862896555356</v>
      </c>
      <c r="AH852" s="304">
        <f t="shared" ca="1" si="405"/>
        <v>-9.4817339257351421</v>
      </c>
    </row>
    <row r="853" spans="1:34" x14ac:dyDescent="0.2">
      <c r="A853" s="347">
        <f t="shared" ca="1" si="383"/>
        <v>1E-4</v>
      </c>
      <c r="B853" s="304">
        <f t="shared" ca="1" si="384"/>
        <v>36.63350000000132</v>
      </c>
      <c r="D853" s="306">
        <f t="shared" ca="1" si="385"/>
        <v>-0.50238120944375431</v>
      </c>
      <c r="E853" s="307">
        <f t="shared" ca="1" si="386"/>
        <v>-0.34156906381386243</v>
      </c>
      <c r="F853" s="304">
        <f t="shared" ca="1" si="387"/>
        <v>0.60750004523197176</v>
      </c>
      <c r="G853" s="306">
        <f t="shared" ca="1" si="388"/>
        <v>5.3288696136873641</v>
      </c>
      <c r="H853" s="307">
        <f t="shared" ca="1" si="389"/>
        <v>-100.43474117388398</v>
      </c>
      <c r="I853" s="304">
        <f t="shared" ca="1" si="390"/>
        <v>100.57601148397538</v>
      </c>
      <c r="J853" s="306">
        <f t="shared" ca="1" si="391"/>
        <v>711.72888807733182</v>
      </c>
      <c r="K853" s="307">
        <f t="shared" ca="1" si="392"/>
        <v>-11.806451479537554</v>
      </c>
      <c r="L853" s="304">
        <f t="shared" ca="1" si="377"/>
        <v>711.82680647776522</v>
      </c>
      <c r="M853" s="306">
        <f t="shared" ca="1" si="393"/>
        <v>-1.5177880006900817</v>
      </c>
      <c r="N853" s="304">
        <f t="shared" ca="1" si="394"/>
        <v>-86.962846635140963</v>
      </c>
      <c r="P853" s="310">
        <f t="shared" ca="1" si="395"/>
        <v>23</v>
      </c>
      <c r="Q853" s="304">
        <f t="shared" ca="1" si="396"/>
        <v>0</v>
      </c>
      <c r="R853" s="306">
        <f t="shared" ca="1" si="397"/>
        <v>0</v>
      </c>
      <c r="S853" s="307">
        <f t="shared" ca="1" si="398"/>
        <v>2.6792999999999987</v>
      </c>
      <c r="T853" s="304">
        <f t="shared" ca="1" si="378"/>
        <v>26.283932999999987</v>
      </c>
      <c r="U853" s="311">
        <f t="shared" ca="1" si="379"/>
        <v>0</v>
      </c>
      <c r="V853" s="306">
        <f t="shared" ca="1" si="380"/>
        <v>1.2264471445883618</v>
      </c>
      <c r="W853" s="304">
        <f t="shared" ca="1" si="381"/>
        <v>25.404492510650631</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0.31447110570972825</v>
      </c>
      <c r="AH853" s="304">
        <f t="shared" ca="1" si="405"/>
        <v>-9.481749378301922</v>
      </c>
    </row>
    <row r="854" spans="1:34" x14ac:dyDescent="0.2">
      <c r="A854" s="347">
        <f t="shared" ca="1" si="383"/>
        <v>1E-4</v>
      </c>
      <c r="B854" s="304">
        <f t="shared" ca="1" si="384"/>
        <v>36.633600000001323</v>
      </c>
      <c r="D854" s="306">
        <f t="shared" ca="1" si="385"/>
        <v>-0.50237713490967129</v>
      </c>
      <c r="E854" s="307">
        <f t="shared" ca="1" si="386"/>
        <v>-0.34155337358374815</v>
      </c>
      <c r="F854" s="304">
        <f t="shared" ca="1" si="387"/>
        <v>0.60748785394153315</v>
      </c>
      <c r="G854" s="306">
        <f t="shared" ca="1" si="388"/>
        <v>5.3288193759738736</v>
      </c>
      <c r="H854" s="307">
        <f t="shared" ca="1" si="389"/>
        <v>-100.43477532922134</v>
      </c>
      <c r="I854" s="304">
        <f t="shared" ca="1" si="390"/>
        <v>100.57604292958101</v>
      </c>
      <c r="J854" s="306">
        <f t="shared" ca="1" si="391"/>
        <v>711.72888807733182</v>
      </c>
      <c r="K854" s="307">
        <f t="shared" ca="1" si="392"/>
        <v>-11.816494955362709</v>
      </c>
      <c r="L854" s="304">
        <f t="shared" ca="1" si="377"/>
        <v>711.82697313098868</v>
      </c>
      <c r="M854" s="306">
        <f t="shared" ca="1" si="393"/>
        <v>-1.517788517481327</v>
      </c>
      <c r="N854" s="304">
        <f t="shared" ca="1" si="394"/>
        <v>-86.962876245098215</v>
      </c>
      <c r="P854" s="310">
        <f t="shared" ca="1" si="395"/>
        <v>23</v>
      </c>
      <c r="Q854" s="304">
        <f t="shared" ca="1" si="396"/>
        <v>0</v>
      </c>
      <c r="R854" s="306">
        <f t="shared" ca="1" si="397"/>
        <v>0</v>
      </c>
      <c r="S854" s="307">
        <f t="shared" ca="1" si="398"/>
        <v>2.6792999999999987</v>
      </c>
      <c r="T854" s="304">
        <f t="shared" ca="1" si="378"/>
        <v>26.283932999999987</v>
      </c>
      <c r="U854" s="311">
        <f t="shared" ca="1" si="379"/>
        <v>0</v>
      </c>
      <c r="V854" s="306">
        <f t="shared" ca="1" si="380"/>
        <v>1.2264483763686345</v>
      </c>
      <c r="W854" s="304">
        <f t="shared" ca="1" si="381"/>
        <v>25.404533911321071</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0.3144559220183254</v>
      </c>
      <c r="AH854" s="304">
        <f t="shared" ca="1" si="405"/>
        <v>-9.4817648306089808</v>
      </c>
    </row>
    <row r="855" spans="1:34" x14ac:dyDescent="0.2">
      <c r="A855" s="347">
        <f t="shared" ca="1" si="383"/>
        <v>1E-4</v>
      </c>
      <c r="B855" s="304">
        <f t="shared" ca="1" si="384"/>
        <v>36.633700000001326</v>
      </c>
      <c r="D855" s="306">
        <f t="shared" ca="1" si="385"/>
        <v>-0.5023730603949349</v>
      </c>
      <c r="E855" s="307">
        <f t="shared" ca="1" si="386"/>
        <v>-0.34153768361728076</v>
      </c>
      <c r="F855" s="304">
        <f t="shared" ca="1" si="387"/>
        <v>0.60747566300324385</v>
      </c>
      <c r="G855" s="306">
        <f t="shared" ca="1" si="388"/>
        <v>5.328769138667834</v>
      </c>
      <c r="H855" s="307">
        <f t="shared" ca="1" si="389"/>
        <v>-100.43480948298971</v>
      </c>
      <c r="I855" s="304">
        <f t="shared" ca="1" si="390"/>
        <v>100.57607437366831</v>
      </c>
      <c r="J855" s="306">
        <f t="shared" ca="1" si="391"/>
        <v>711.72888807733182</v>
      </c>
      <c r="K855" s="307">
        <f t="shared" ca="1" si="392"/>
        <v>-11.82653843460332</v>
      </c>
      <c r="L855" s="304">
        <f t="shared" ca="1" si="377"/>
        <v>711.82713992593756</v>
      </c>
      <c r="M855" s="306">
        <f t="shared" ca="1" si="393"/>
        <v>-1.517789034267377</v>
      </c>
      <c r="N855" s="304">
        <f t="shared" ca="1" si="394"/>
        <v>-86.962905854757778</v>
      </c>
      <c r="P855" s="310">
        <f t="shared" ca="1" si="395"/>
        <v>23</v>
      </c>
      <c r="Q855" s="304">
        <f t="shared" ca="1" si="396"/>
        <v>0</v>
      </c>
      <c r="R855" s="306">
        <f t="shared" ca="1" si="397"/>
        <v>0</v>
      </c>
      <c r="S855" s="307">
        <f t="shared" ca="1" si="398"/>
        <v>2.6792999999999987</v>
      </c>
      <c r="T855" s="304">
        <f t="shared" ca="1" si="378"/>
        <v>26.283932999999987</v>
      </c>
      <c r="U855" s="311">
        <f t="shared" ca="1" si="379"/>
        <v>0</v>
      </c>
      <c r="V855" s="306">
        <f t="shared" ca="1" si="380"/>
        <v>1.2264496081505645</v>
      </c>
      <c r="W855" s="304">
        <f t="shared" ca="1" si="381"/>
        <v>25.404575311295687</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0.31444073858132349</v>
      </c>
      <c r="AH855" s="304">
        <f t="shared" ca="1" si="405"/>
        <v>-9.481780282656322</v>
      </c>
    </row>
    <row r="856" spans="1:34" x14ac:dyDescent="0.2">
      <c r="A856" s="347">
        <f t="shared" ca="1" si="383"/>
        <v>1E-4</v>
      </c>
      <c r="B856" s="304">
        <f t="shared" ca="1" si="384"/>
        <v>36.63380000000133</v>
      </c>
      <c r="D856" s="306">
        <f t="shared" ca="1" si="385"/>
        <v>-0.50236898589954848</v>
      </c>
      <c r="E856" s="307">
        <f t="shared" ca="1" si="386"/>
        <v>-0.34152199391444249</v>
      </c>
      <c r="F856" s="304">
        <f t="shared" ca="1" si="387"/>
        <v>0.60746347241709708</v>
      </c>
      <c r="G856" s="306">
        <f t="shared" ca="1" si="388"/>
        <v>5.3287189017692445</v>
      </c>
      <c r="H856" s="307">
        <f t="shared" ca="1" si="389"/>
        <v>-100.4348436351891</v>
      </c>
      <c r="I856" s="304">
        <f t="shared" ca="1" si="390"/>
        <v>100.57610581623727</v>
      </c>
      <c r="J856" s="306">
        <f t="shared" ca="1" si="391"/>
        <v>711.72888807733182</v>
      </c>
      <c r="K856" s="307">
        <f t="shared" ca="1" si="392"/>
        <v>-11.836581917259229</v>
      </c>
      <c r="L856" s="304">
        <f t="shared" ca="1" si="377"/>
        <v>711.82730686261198</v>
      </c>
      <c r="M856" s="306">
        <f t="shared" ca="1" si="393"/>
        <v>-1.517789551048232</v>
      </c>
      <c r="N856" s="304">
        <f t="shared" ca="1" si="394"/>
        <v>-86.96293546411971</v>
      </c>
      <c r="P856" s="310">
        <f t="shared" ca="1" si="395"/>
        <v>23</v>
      </c>
      <c r="Q856" s="304">
        <f t="shared" ca="1" si="396"/>
        <v>0</v>
      </c>
      <c r="R856" s="306">
        <f t="shared" ca="1" si="397"/>
        <v>0</v>
      </c>
      <c r="S856" s="307">
        <f t="shared" ca="1" si="398"/>
        <v>2.6792999999999987</v>
      </c>
      <c r="T856" s="304">
        <f t="shared" ca="1" si="378"/>
        <v>26.283932999999987</v>
      </c>
      <c r="U856" s="311">
        <f t="shared" ca="1" si="379"/>
        <v>0</v>
      </c>
      <c r="V856" s="306">
        <f t="shared" ca="1" si="380"/>
        <v>1.2264508399341507</v>
      </c>
      <c r="W856" s="304">
        <f t="shared" ca="1" si="381"/>
        <v>25.404616710574444</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0.31442555539870831</v>
      </c>
      <c r="AH856" s="304">
        <f t="shared" ca="1" si="405"/>
        <v>-9.4817957344439598</v>
      </c>
    </row>
    <row r="857" spans="1:34" x14ac:dyDescent="0.2">
      <c r="A857" s="347">
        <f t="shared" ca="1" si="383"/>
        <v>1E-4</v>
      </c>
      <c r="B857" s="304">
        <f t="shared" ca="1" si="384"/>
        <v>36.633900000001333</v>
      </c>
      <c r="D857" s="306">
        <f t="shared" ca="1" si="385"/>
        <v>-0.50236491142350792</v>
      </c>
      <c r="E857" s="307">
        <f t="shared" ca="1" si="386"/>
        <v>-0.3415063044752511</v>
      </c>
      <c r="F857" s="304">
        <f t="shared" ca="1" si="387"/>
        <v>0.60745128218309974</v>
      </c>
      <c r="G857" s="306">
        <f t="shared" ca="1" si="388"/>
        <v>5.3286686652781023</v>
      </c>
      <c r="H857" s="307">
        <f t="shared" ca="1" si="389"/>
        <v>-100.43487778581954</v>
      </c>
      <c r="I857" s="304">
        <f t="shared" ca="1" si="390"/>
        <v>100.57613725728794</v>
      </c>
      <c r="J857" s="306">
        <f t="shared" ca="1" si="391"/>
        <v>711.72888807733182</v>
      </c>
      <c r="K857" s="307">
        <f t="shared" ca="1" si="392"/>
        <v>-11.846625403330279</v>
      </c>
      <c r="L857" s="304">
        <f t="shared" ca="1" si="377"/>
        <v>711.82747394101193</v>
      </c>
      <c r="M857" s="306">
        <f t="shared" ca="1" si="393"/>
        <v>-1.5177900678238918</v>
      </c>
      <c r="N857" s="304">
        <f t="shared" ca="1" si="394"/>
        <v>-86.962965073183966</v>
      </c>
      <c r="P857" s="310">
        <f t="shared" ca="1" si="395"/>
        <v>23</v>
      </c>
      <c r="Q857" s="304">
        <f t="shared" ca="1" si="396"/>
        <v>0</v>
      </c>
      <c r="R857" s="306">
        <f t="shared" ca="1" si="397"/>
        <v>0</v>
      </c>
      <c r="S857" s="307">
        <f t="shared" ca="1" si="398"/>
        <v>2.6792999999999987</v>
      </c>
      <c r="T857" s="304">
        <f t="shared" ca="1" si="378"/>
        <v>26.283932999999987</v>
      </c>
      <c r="U857" s="311">
        <f t="shared" ca="1" si="379"/>
        <v>0</v>
      </c>
      <c r="V857" s="306">
        <f t="shared" ca="1" si="380"/>
        <v>1.2264520717193939</v>
      </c>
      <c r="W857" s="304">
        <f t="shared" ca="1" si="381"/>
        <v>25.404658109157385</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0.31441037247049408</v>
      </c>
      <c r="AH857" s="304">
        <f t="shared" ca="1" si="405"/>
        <v>-9.4818111859718801</v>
      </c>
    </row>
    <row r="858" spans="1:34" x14ac:dyDescent="0.2">
      <c r="A858" s="347">
        <f t="shared" ca="1" si="383"/>
        <v>1E-4</v>
      </c>
      <c r="B858" s="304">
        <f t="shared" ca="1" si="384"/>
        <v>36.634000000001336</v>
      </c>
      <c r="D858" s="306">
        <f t="shared" ca="1" si="385"/>
        <v>-0.50236083696681677</v>
      </c>
      <c r="E858" s="307">
        <f t="shared" ca="1" si="386"/>
        <v>-0.34149061529968883</v>
      </c>
      <c r="F858" s="304">
        <f t="shared" ca="1" si="387"/>
        <v>0.60743909230124526</v>
      </c>
      <c r="G858" s="306">
        <f t="shared" ca="1" si="388"/>
        <v>5.3286184291944059</v>
      </c>
      <c r="H858" s="307">
        <f t="shared" ca="1" si="389"/>
        <v>-100.43491193488107</v>
      </c>
      <c r="I858" s="304">
        <f t="shared" ca="1" si="390"/>
        <v>100.57616869682036</v>
      </c>
      <c r="J858" s="306">
        <f t="shared" ca="1" si="391"/>
        <v>711.72888807733182</v>
      </c>
      <c r="K858" s="307">
        <f t="shared" ca="1" si="392"/>
        <v>-11.856668892816314</v>
      </c>
      <c r="L858" s="304">
        <f t="shared" ca="1" si="377"/>
        <v>711.82764116113742</v>
      </c>
      <c r="M858" s="306">
        <f t="shared" ca="1" si="393"/>
        <v>-1.5177905845943567</v>
      </c>
      <c r="N858" s="304">
        <f t="shared" ca="1" si="394"/>
        <v>-86.96299468195059</v>
      </c>
      <c r="P858" s="310">
        <f t="shared" ca="1" si="395"/>
        <v>23</v>
      </c>
      <c r="Q858" s="304">
        <f t="shared" ca="1" si="396"/>
        <v>0</v>
      </c>
      <c r="R858" s="306">
        <f t="shared" ca="1" si="397"/>
        <v>0</v>
      </c>
      <c r="S858" s="307">
        <f t="shared" ca="1" si="398"/>
        <v>2.6792999999999987</v>
      </c>
      <c r="T858" s="304">
        <f t="shared" ca="1" si="378"/>
        <v>26.283932999999987</v>
      </c>
      <c r="U858" s="311">
        <f t="shared" ca="1" si="379"/>
        <v>0</v>
      </c>
      <c r="V858" s="306">
        <f t="shared" ca="1" si="380"/>
        <v>1.2264533035062937</v>
      </c>
      <c r="W858" s="304">
        <f t="shared" ca="1" si="381"/>
        <v>25.404699507044512</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0.31439518979666659</v>
      </c>
      <c r="AH858" s="304">
        <f t="shared" ca="1" si="405"/>
        <v>-9.4818266372400988</v>
      </c>
    </row>
    <row r="859" spans="1:34" x14ac:dyDescent="0.2">
      <c r="A859" s="347">
        <f t="shared" ca="1" si="383"/>
        <v>1E-4</v>
      </c>
      <c r="B859" s="304">
        <f t="shared" ca="1" si="384"/>
        <v>36.634100000001339</v>
      </c>
      <c r="D859" s="306">
        <f t="shared" ca="1" si="385"/>
        <v>-0.5023567625294737</v>
      </c>
      <c r="E859" s="307">
        <f t="shared" ca="1" si="386"/>
        <v>-0.34147492638775034</v>
      </c>
      <c r="F859" s="304">
        <f t="shared" ca="1" si="387"/>
        <v>0.60742690277152989</v>
      </c>
      <c r="G859" s="306">
        <f t="shared" ca="1" si="388"/>
        <v>5.3285681935181533</v>
      </c>
      <c r="H859" s="307">
        <f t="shared" ca="1" si="389"/>
        <v>-100.43494608237371</v>
      </c>
      <c r="I859" s="304">
        <f t="shared" ca="1" si="390"/>
        <v>100.57620013483452</v>
      </c>
      <c r="J859" s="306">
        <f t="shared" ca="1" si="391"/>
        <v>711.72888807733182</v>
      </c>
      <c r="K859" s="307">
        <f t="shared" ca="1" si="392"/>
        <v>-11.866712385717177</v>
      </c>
      <c r="L859" s="304">
        <f t="shared" ca="1" si="377"/>
        <v>711.82780852298856</v>
      </c>
      <c r="M859" s="306">
        <f t="shared" ca="1" si="393"/>
        <v>-1.5177911013596268</v>
      </c>
      <c r="N859" s="304">
        <f t="shared" ca="1" si="394"/>
        <v>-86.963024290419554</v>
      </c>
      <c r="P859" s="310">
        <f t="shared" ca="1" si="395"/>
        <v>23</v>
      </c>
      <c r="Q859" s="304">
        <f t="shared" ca="1" si="396"/>
        <v>0</v>
      </c>
      <c r="R859" s="306">
        <f t="shared" ca="1" si="397"/>
        <v>0</v>
      </c>
      <c r="S859" s="307">
        <f t="shared" ca="1" si="398"/>
        <v>2.6792999999999987</v>
      </c>
      <c r="T859" s="304">
        <f t="shared" ca="1" si="378"/>
        <v>26.283932999999987</v>
      </c>
      <c r="U859" s="311">
        <f t="shared" ca="1" si="379"/>
        <v>0</v>
      </c>
      <c r="V859" s="306">
        <f t="shared" ca="1" si="380"/>
        <v>1.2264545352948502</v>
      </c>
      <c r="W859" s="304">
        <f t="shared" ca="1" si="381"/>
        <v>25.40474090423583</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0.31438000737721872</v>
      </c>
      <c r="AH859" s="304">
        <f t="shared" ca="1" si="405"/>
        <v>-9.4818420882486194</v>
      </c>
    </row>
    <row r="860" spans="1:34" x14ac:dyDescent="0.2">
      <c r="A860" s="347">
        <f t="shared" ca="1" si="383"/>
        <v>1E-4</v>
      </c>
      <c r="B860" s="304">
        <f t="shared" ca="1" si="384"/>
        <v>36.634200000001343</v>
      </c>
      <c r="D860" s="306">
        <f t="shared" ca="1" si="385"/>
        <v>-0.50235268811147726</v>
      </c>
      <c r="E860" s="307">
        <f t="shared" ca="1" si="386"/>
        <v>-0.34145923773944098</v>
      </c>
      <c r="F860" s="304">
        <f t="shared" ca="1" si="387"/>
        <v>0.60741471359395571</v>
      </c>
      <c r="G860" s="306">
        <f t="shared" ca="1" si="388"/>
        <v>5.3285179582493418</v>
      </c>
      <c r="H860" s="307">
        <f t="shared" ca="1" si="389"/>
        <v>-100.43498022829749</v>
      </c>
      <c r="I860" s="304">
        <f t="shared" ca="1" si="390"/>
        <v>100.57623157133048</v>
      </c>
      <c r="J860" s="306">
        <f t="shared" ca="1" si="391"/>
        <v>711.72888807733182</v>
      </c>
      <c r="K860" s="307">
        <f t="shared" ca="1" si="392"/>
        <v>-11.876755882032711</v>
      </c>
      <c r="L860" s="304">
        <f t="shared" ca="1" si="377"/>
        <v>711.82797602656535</v>
      </c>
      <c r="M860" s="306">
        <f t="shared" ca="1" si="393"/>
        <v>-1.517791618119702</v>
      </c>
      <c r="N860" s="304">
        <f t="shared" ca="1" si="394"/>
        <v>-86.963053898590886</v>
      </c>
      <c r="P860" s="310">
        <f t="shared" ca="1" si="395"/>
        <v>23</v>
      </c>
      <c r="Q860" s="304">
        <f t="shared" ca="1" si="396"/>
        <v>0</v>
      </c>
      <c r="R860" s="306">
        <f t="shared" ca="1" si="397"/>
        <v>0</v>
      </c>
      <c r="S860" s="307">
        <f t="shared" ca="1" si="398"/>
        <v>2.6792999999999987</v>
      </c>
      <c r="T860" s="304">
        <f t="shared" ca="1" si="378"/>
        <v>26.283932999999987</v>
      </c>
      <c r="U860" s="311">
        <f t="shared" ca="1" si="379"/>
        <v>0</v>
      </c>
      <c r="V860" s="306">
        <f t="shared" ca="1" si="380"/>
        <v>1.2264557670850638</v>
      </c>
      <c r="W860" s="304">
        <f t="shared" ca="1" si="381"/>
        <v>25.404782300731362</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0.31436482521215581</v>
      </c>
      <c r="AH860" s="304">
        <f t="shared" ca="1" si="405"/>
        <v>-9.4818575389974402</v>
      </c>
    </row>
    <row r="861" spans="1:34" x14ac:dyDescent="0.2">
      <c r="A861" s="347">
        <f t="shared" ca="1" si="383"/>
        <v>1E-4</v>
      </c>
      <c r="B861" s="304">
        <f t="shared" ca="1" si="384"/>
        <v>36.634300000001346</v>
      </c>
      <c r="D861" s="306">
        <f t="shared" ca="1" si="385"/>
        <v>-0.50234861371283079</v>
      </c>
      <c r="E861" s="307">
        <f t="shared" ca="1" si="386"/>
        <v>-0.34144354935474652</v>
      </c>
      <c r="F861" s="304">
        <f t="shared" ca="1" si="387"/>
        <v>0.60740252476851797</v>
      </c>
      <c r="G861" s="306">
        <f t="shared" ca="1" si="388"/>
        <v>5.3284677233879707</v>
      </c>
      <c r="H861" s="307">
        <f t="shared" ca="1" si="389"/>
        <v>-100.43501437265243</v>
      </c>
      <c r="I861" s="304">
        <f t="shared" ca="1" si="390"/>
        <v>100.57626300630824</v>
      </c>
      <c r="J861" s="306">
        <f t="shared" ca="1" si="391"/>
        <v>711.72888807733182</v>
      </c>
      <c r="K861" s="307">
        <f t="shared" ca="1" si="392"/>
        <v>-11.886799381762758</v>
      </c>
      <c r="L861" s="304">
        <f t="shared" ca="1" si="377"/>
        <v>711.82814367186791</v>
      </c>
      <c r="M861" s="306">
        <f t="shared" ca="1" si="393"/>
        <v>-1.5177921348745822</v>
      </c>
      <c r="N861" s="304">
        <f t="shared" ca="1" si="394"/>
        <v>-86.963083506464571</v>
      </c>
      <c r="P861" s="310">
        <f t="shared" ca="1" si="395"/>
        <v>23</v>
      </c>
      <c r="Q861" s="304">
        <f t="shared" ca="1" si="396"/>
        <v>0</v>
      </c>
      <c r="R861" s="306">
        <f t="shared" ca="1" si="397"/>
        <v>0</v>
      </c>
      <c r="S861" s="307">
        <f t="shared" ca="1" si="398"/>
        <v>2.6792999999999987</v>
      </c>
      <c r="T861" s="304">
        <f t="shared" ca="1" si="378"/>
        <v>26.283932999999987</v>
      </c>
      <c r="U861" s="311">
        <f t="shared" ca="1" si="379"/>
        <v>0</v>
      </c>
      <c r="V861" s="306">
        <f t="shared" ca="1" si="380"/>
        <v>1.2264569988769334</v>
      </c>
      <c r="W861" s="304">
        <f t="shared" ca="1" si="381"/>
        <v>25.404823696531086</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0.31434964330146364</v>
      </c>
      <c r="AH861" s="304">
        <f t="shared" ca="1" si="405"/>
        <v>-9.4818729894865736</v>
      </c>
    </row>
    <row r="862" spans="1:34" x14ac:dyDescent="0.2">
      <c r="A862" s="347">
        <f t="shared" ca="1" si="383"/>
        <v>1E-4</v>
      </c>
      <c r="B862" s="304">
        <f t="shared" ca="1" si="384"/>
        <v>36.634400000001349</v>
      </c>
      <c r="D862" s="306">
        <f t="shared" ca="1" si="385"/>
        <v>-0.50234453933353418</v>
      </c>
      <c r="E862" s="307">
        <f t="shared" ca="1" si="386"/>
        <v>-0.34142786123367941</v>
      </c>
      <c r="F862" s="304">
        <f t="shared" ca="1" si="387"/>
        <v>0.60739033629522399</v>
      </c>
      <c r="G862" s="306">
        <f t="shared" ca="1" si="388"/>
        <v>5.3284174889340372</v>
      </c>
      <c r="H862" s="307">
        <f t="shared" ca="1" si="389"/>
        <v>-100.43504851543855</v>
      </c>
      <c r="I862" s="304">
        <f t="shared" ca="1" si="390"/>
        <v>100.57629443976782</v>
      </c>
      <c r="J862" s="306">
        <f t="shared" ca="1" si="391"/>
        <v>711.72888807733182</v>
      </c>
      <c r="K862" s="307">
        <f t="shared" ca="1" si="392"/>
        <v>-11.896842884907162</v>
      </c>
      <c r="L862" s="304">
        <f t="shared" ca="1" si="377"/>
        <v>711.82831145889611</v>
      </c>
      <c r="M862" s="306">
        <f t="shared" ca="1" si="393"/>
        <v>-1.5177926516242677</v>
      </c>
      <c r="N862" s="304">
        <f t="shared" ca="1" si="394"/>
        <v>-86.96311311404061</v>
      </c>
      <c r="P862" s="310">
        <f t="shared" ca="1" si="395"/>
        <v>23</v>
      </c>
      <c r="Q862" s="304">
        <f t="shared" ca="1" si="396"/>
        <v>0</v>
      </c>
      <c r="R862" s="306">
        <f t="shared" ca="1" si="397"/>
        <v>0</v>
      </c>
      <c r="S862" s="307">
        <f t="shared" ca="1" si="398"/>
        <v>2.6792999999999987</v>
      </c>
      <c r="T862" s="304">
        <f t="shared" ca="1" si="378"/>
        <v>26.283932999999987</v>
      </c>
      <c r="U862" s="311">
        <f t="shared" ca="1" si="379"/>
        <v>0</v>
      </c>
      <c r="V862" s="306">
        <f t="shared" ca="1" si="380"/>
        <v>1.2264582306704601</v>
      </c>
      <c r="W862" s="304">
        <f t="shared" ca="1" si="381"/>
        <v>25.404865091635045</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0.31433446164515644</v>
      </c>
      <c r="AH862" s="304">
        <f t="shared" ca="1" si="405"/>
        <v>-9.4818884397160073</v>
      </c>
    </row>
    <row r="863" spans="1:34" x14ac:dyDescent="0.2">
      <c r="A863" s="347">
        <f t="shared" ca="1" si="383"/>
        <v>1E-4</v>
      </c>
      <c r="B863" s="304">
        <f t="shared" ca="1" si="384"/>
        <v>36.634500000001353</v>
      </c>
      <c r="D863" s="306">
        <f t="shared" ca="1" si="385"/>
        <v>-0.5023404649735872</v>
      </c>
      <c r="E863" s="307">
        <f t="shared" ca="1" si="386"/>
        <v>-0.34141217337621832</v>
      </c>
      <c r="F863" s="304">
        <f t="shared" ca="1" si="387"/>
        <v>0.60737814817406188</v>
      </c>
      <c r="G863" s="306">
        <f t="shared" ca="1" si="388"/>
        <v>5.3283672548875396</v>
      </c>
      <c r="H863" s="307">
        <f t="shared" ca="1" si="389"/>
        <v>-100.43508265665589</v>
      </c>
      <c r="I863" s="304">
        <f t="shared" ca="1" si="390"/>
        <v>100.57632587170929</v>
      </c>
      <c r="J863" s="306">
        <f t="shared" ca="1" si="391"/>
        <v>711.72888807733182</v>
      </c>
      <c r="K863" s="307">
        <f t="shared" ca="1" si="392"/>
        <v>-11.906886391465767</v>
      </c>
      <c r="L863" s="304">
        <f t="shared" ca="1" si="377"/>
        <v>711.8284793876503</v>
      </c>
      <c r="M863" s="306">
        <f t="shared" ca="1" si="393"/>
        <v>-1.5177931683687587</v>
      </c>
      <c r="N863" s="304">
        <f t="shared" ca="1" si="394"/>
        <v>-86.963142721319031</v>
      </c>
      <c r="P863" s="310">
        <f t="shared" ca="1" si="395"/>
        <v>23</v>
      </c>
      <c r="Q863" s="304">
        <f t="shared" ca="1" si="396"/>
        <v>0</v>
      </c>
      <c r="R863" s="306">
        <f t="shared" ca="1" si="397"/>
        <v>0</v>
      </c>
      <c r="S863" s="307">
        <f t="shared" ca="1" si="398"/>
        <v>2.6792999999999987</v>
      </c>
      <c r="T863" s="304">
        <f t="shared" ca="1" si="378"/>
        <v>26.283932999999987</v>
      </c>
      <c r="U863" s="311">
        <f t="shared" ca="1" si="379"/>
        <v>0</v>
      </c>
      <c r="V863" s="306">
        <f t="shared" ca="1" si="380"/>
        <v>1.2264594624656431</v>
      </c>
      <c r="W863" s="304">
        <f t="shared" ca="1" si="381"/>
        <v>25.404906486043238</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0.31431928024321287</v>
      </c>
      <c r="AH863" s="304">
        <f t="shared" ca="1" si="405"/>
        <v>-9.4819038896857606</v>
      </c>
    </row>
    <row r="864" spans="1:34" x14ac:dyDescent="0.2">
      <c r="A864" s="347">
        <f t="shared" ca="1" si="383"/>
        <v>1E-4</v>
      </c>
      <c r="B864" s="304">
        <f t="shared" ca="1" si="384"/>
        <v>36.634600000001356</v>
      </c>
      <c r="D864" s="306">
        <f t="shared" ca="1" si="385"/>
        <v>-0.50233639063298818</v>
      </c>
      <c r="E864" s="307">
        <f t="shared" ca="1" si="386"/>
        <v>-0.34139648578236681</v>
      </c>
      <c r="F864" s="304">
        <f t="shared" ca="1" si="387"/>
        <v>0.60736596040503277</v>
      </c>
      <c r="G864" s="306">
        <f t="shared" ca="1" si="388"/>
        <v>5.3283170212484761</v>
      </c>
      <c r="H864" s="307">
        <f t="shared" ca="1" si="389"/>
        <v>-100.43511679630447</v>
      </c>
      <c r="I864" s="304">
        <f t="shared" ca="1" si="390"/>
        <v>100.57635730213262</v>
      </c>
      <c r="J864" s="306">
        <f t="shared" ca="1" si="391"/>
        <v>711.72888807733182</v>
      </c>
      <c r="K864" s="307">
        <f t="shared" ca="1" si="392"/>
        <v>-11.916929901438415</v>
      </c>
      <c r="L864" s="304">
        <f t="shared" ca="1" si="377"/>
        <v>711.82864745813015</v>
      </c>
      <c r="M864" s="306">
        <f t="shared" ca="1" si="393"/>
        <v>-1.5177936851080549</v>
      </c>
      <c r="N864" s="304">
        <f t="shared" ca="1" si="394"/>
        <v>-86.963172328299819</v>
      </c>
      <c r="P864" s="310">
        <f t="shared" ca="1" si="395"/>
        <v>23</v>
      </c>
      <c r="Q864" s="304">
        <f t="shared" ca="1" si="396"/>
        <v>0</v>
      </c>
      <c r="R864" s="306">
        <f t="shared" ca="1" si="397"/>
        <v>0</v>
      </c>
      <c r="S864" s="307">
        <f t="shared" ca="1" si="398"/>
        <v>2.6792999999999987</v>
      </c>
      <c r="T864" s="304">
        <f t="shared" ca="1" si="378"/>
        <v>26.283932999999987</v>
      </c>
      <c r="U864" s="311">
        <f t="shared" ca="1" si="379"/>
        <v>0</v>
      </c>
      <c r="V864" s="306">
        <f t="shared" ca="1" si="380"/>
        <v>1.2264606942624829</v>
      </c>
      <c r="W864" s="304">
        <f t="shared" ca="1" si="381"/>
        <v>25.404947879755667</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0.31430409909563473</v>
      </c>
      <c r="AH864" s="304">
        <f t="shared" ca="1" si="405"/>
        <v>-9.4819193393958319</v>
      </c>
    </row>
    <row r="865" spans="1:34" x14ac:dyDescent="0.2">
      <c r="A865" s="347">
        <f t="shared" ca="1" si="383"/>
        <v>1E-4</v>
      </c>
      <c r="B865" s="304">
        <f t="shared" ca="1" si="384"/>
        <v>36.634700000001359</v>
      </c>
      <c r="D865" s="306">
        <f t="shared" ca="1" si="385"/>
        <v>-0.50233231631173991</v>
      </c>
      <c r="E865" s="307">
        <f t="shared" ca="1" si="386"/>
        <v>-0.34138079845212488</v>
      </c>
      <c r="F865" s="304">
        <f t="shared" ca="1" si="387"/>
        <v>0.60735377298813931</v>
      </c>
      <c r="G865" s="306">
        <f t="shared" ca="1" si="388"/>
        <v>5.3282667880168448</v>
      </c>
      <c r="H865" s="307">
        <f t="shared" ca="1" si="389"/>
        <v>-100.43515093438431</v>
      </c>
      <c r="I865" s="304">
        <f t="shared" ca="1" si="390"/>
        <v>100.57638873103787</v>
      </c>
      <c r="J865" s="306">
        <f t="shared" ca="1" si="391"/>
        <v>711.72888807733182</v>
      </c>
      <c r="K865" s="307">
        <f t="shared" ca="1" si="392"/>
        <v>-11.92697341482495</v>
      </c>
      <c r="L865" s="304">
        <f t="shared" ca="1" si="377"/>
        <v>711.82881567033587</v>
      </c>
      <c r="M865" s="306">
        <f t="shared" ca="1" si="393"/>
        <v>-1.5177942018421566</v>
      </c>
      <c r="N865" s="304">
        <f t="shared" ca="1" si="394"/>
        <v>-86.963201934982976</v>
      </c>
      <c r="P865" s="310">
        <f t="shared" ca="1" si="395"/>
        <v>23</v>
      </c>
      <c r="Q865" s="304">
        <f t="shared" ca="1" si="396"/>
        <v>0</v>
      </c>
      <c r="R865" s="306">
        <f t="shared" ca="1" si="397"/>
        <v>0</v>
      </c>
      <c r="S865" s="307">
        <f t="shared" ca="1" si="398"/>
        <v>2.6792999999999987</v>
      </c>
      <c r="T865" s="304">
        <f t="shared" ca="1" si="378"/>
        <v>26.283932999999987</v>
      </c>
      <c r="U865" s="311">
        <f t="shared" ca="1" si="379"/>
        <v>0</v>
      </c>
      <c r="V865" s="306">
        <f t="shared" ca="1" si="380"/>
        <v>1.2264619260609793</v>
      </c>
      <c r="W865" s="304">
        <f t="shared" ca="1" si="381"/>
        <v>25.404989272772344</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0.31428891820242555</v>
      </c>
      <c r="AH865" s="304">
        <f t="shared" ca="1" si="405"/>
        <v>-9.4819347888462211</v>
      </c>
    </row>
    <row r="866" spans="1:34" x14ac:dyDescent="0.2">
      <c r="A866" s="347">
        <f t="shared" ca="1" si="383"/>
        <v>1E-4</v>
      </c>
      <c r="B866" s="304">
        <f t="shared" ca="1" si="384"/>
        <v>36.634800000001363</v>
      </c>
      <c r="D866" s="306">
        <f t="shared" ca="1" si="385"/>
        <v>-0.50232824200984116</v>
      </c>
      <c r="E866" s="307">
        <f t="shared" ca="1" si="386"/>
        <v>-0.3413651113854872</v>
      </c>
      <c r="F866" s="304">
        <f t="shared" ca="1" si="387"/>
        <v>0.60734158592337772</v>
      </c>
      <c r="G866" s="306">
        <f t="shared" ca="1" si="388"/>
        <v>5.3282165551926441</v>
      </c>
      <c r="H866" s="307">
        <f t="shared" ca="1" si="389"/>
        <v>-100.43518507089544</v>
      </c>
      <c r="I866" s="304">
        <f t="shared" ca="1" si="390"/>
        <v>100.57642015842505</v>
      </c>
      <c r="J866" s="306">
        <f t="shared" ca="1" si="391"/>
        <v>711.72888807733182</v>
      </c>
      <c r="K866" s="307">
        <f t="shared" ca="1" si="392"/>
        <v>-11.937016931625214</v>
      </c>
      <c r="L866" s="304">
        <f t="shared" ca="1" si="377"/>
        <v>711.82898402426758</v>
      </c>
      <c r="M866" s="306">
        <f t="shared" ca="1" si="393"/>
        <v>-1.5177947185710639</v>
      </c>
      <c r="N866" s="304">
        <f t="shared" ca="1" si="394"/>
        <v>-86.963231541368515</v>
      </c>
      <c r="P866" s="310">
        <f t="shared" ca="1" si="395"/>
        <v>23</v>
      </c>
      <c r="Q866" s="304">
        <f t="shared" ca="1" si="396"/>
        <v>0</v>
      </c>
      <c r="R866" s="306">
        <f t="shared" ca="1" si="397"/>
        <v>0</v>
      </c>
      <c r="S866" s="307">
        <f t="shared" ca="1" si="398"/>
        <v>2.6792999999999987</v>
      </c>
      <c r="T866" s="304">
        <f t="shared" ca="1" si="378"/>
        <v>26.283932999999987</v>
      </c>
      <c r="U866" s="311">
        <f t="shared" ca="1" si="379"/>
        <v>0</v>
      </c>
      <c r="V866" s="306">
        <f t="shared" ca="1" si="380"/>
        <v>1.226463157861132</v>
      </c>
      <c r="W866" s="304">
        <f t="shared" ca="1" si="381"/>
        <v>25.405030665093285</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0.31427373756357646</v>
      </c>
      <c r="AH866" s="304">
        <f t="shared" ca="1" si="405"/>
        <v>-9.4819502380369336</v>
      </c>
    </row>
    <row r="867" spans="1:34" x14ac:dyDescent="0.2">
      <c r="A867" s="347">
        <f t="shared" ca="1" si="383"/>
        <v>1E-4</v>
      </c>
      <c r="B867" s="304">
        <f t="shared" ca="1" si="384"/>
        <v>36.634900000001366</v>
      </c>
      <c r="D867" s="306">
        <f t="shared" ca="1" si="385"/>
        <v>-0.50232416772729316</v>
      </c>
      <c r="E867" s="307">
        <f t="shared" ca="1" si="386"/>
        <v>-0.34134942458244666</v>
      </c>
      <c r="F867" s="304">
        <f t="shared" ca="1" si="387"/>
        <v>0.60732939921074558</v>
      </c>
      <c r="G867" s="306">
        <f t="shared" ca="1" si="388"/>
        <v>5.3281663227758713</v>
      </c>
      <c r="H867" s="307">
        <f t="shared" ca="1" si="389"/>
        <v>-100.4352192058379</v>
      </c>
      <c r="I867" s="304">
        <f t="shared" ca="1" si="390"/>
        <v>100.57645158429419</v>
      </c>
      <c r="J867" s="306">
        <f t="shared" ca="1" si="391"/>
        <v>711.72888807733182</v>
      </c>
      <c r="K867" s="307">
        <f t="shared" ca="1" si="392"/>
        <v>-11.94706045183905</v>
      </c>
      <c r="L867" s="304">
        <f t="shared" ca="1" si="377"/>
        <v>711.82915251992529</v>
      </c>
      <c r="M867" s="306">
        <f t="shared" ca="1" si="393"/>
        <v>-1.5177952352947768</v>
      </c>
      <c r="N867" s="304">
        <f t="shared" ca="1" si="394"/>
        <v>-86.963261147456436</v>
      </c>
      <c r="P867" s="310">
        <f t="shared" ca="1" si="395"/>
        <v>23</v>
      </c>
      <c r="Q867" s="304">
        <f t="shared" ca="1" si="396"/>
        <v>0</v>
      </c>
      <c r="R867" s="306">
        <f t="shared" ca="1" si="397"/>
        <v>0</v>
      </c>
      <c r="S867" s="307">
        <f t="shared" ca="1" si="398"/>
        <v>2.6792999999999987</v>
      </c>
      <c r="T867" s="304">
        <f t="shared" ca="1" si="378"/>
        <v>26.283932999999987</v>
      </c>
      <c r="U867" s="311">
        <f t="shared" ca="1" si="379"/>
        <v>0</v>
      </c>
      <c r="V867" s="306">
        <f t="shared" ca="1" si="380"/>
        <v>1.2264643896629419</v>
      </c>
      <c r="W867" s="304">
        <f t="shared" ca="1" si="381"/>
        <v>25.405072056718499</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0.31425855717908213</v>
      </c>
      <c r="AH867" s="304">
        <f t="shared" ca="1" si="405"/>
        <v>-9.4819656869679765</v>
      </c>
    </row>
    <row r="868" spans="1:34" x14ac:dyDescent="0.2">
      <c r="A868" s="347">
        <f t="shared" ca="1" si="383"/>
        <v>1E-4</v>
      </c>
      <c r="B868" s="304">
        <f t="shared" ca="1" si="384"/>
        <v>36.635000000001369</v>
      </c>
      <c r="D868" s="306">
        <f t="shared" ca="1" si="385"/>
        <v>-0.50232009346409412</v>
      </c>
      <c r="E868" s="307">
        <f t="shared" ca="1" si="386"/>
        <v>-0.34133373804300149</v>
      </c>
      <c r="F868" s="304">
        <f t="shared" ca="1" si="387"/>
        <v>0.60731721285024076</v>
      </c>
      <c r="G868" s="306">
        <f t="shared" ca="1" si="388"/>
        <v>5.3281160907665246</v>
      </c>
      <c r="H868" s="307">
        <f t="shared" ca="1" si="389"/>
        <v>-100.4352533392117</v>
      </c>
      <c r="I868" s="304">
        <f t="shared" ca="1" si="390"/>
        <v>100.57648300864531</v>
      </c>
      <c r="J868" s="306">
        <f t="shared" ca="1" si="391"/>
        <v>711.72888807733182</v>
      </c>
      <c r="K868" s="307">
        <f t="shared" ca="1" si="392"/>
        <v>-11.957103975466303</v>
      </c>
      <c r="L868" s="304">
        <f t="shared" ca="1" si="377"/>
        <v>711.82932115730887</v>
      </c>
      <c r="M868" s="306">
        <f t="shared" ca="1" si="393"/>
        <v>-1.5177957520132952</v>
      </c>
      <c r="N868" s="304">
        <f t="shared" ca="1" si="394"/>
        <v>-86.963290753246739</v>
      </c>
      <c r="P868" s="310">
        <f t="shared" ca="1" si="395"/>
        <v>23</v>
      </c>
      <c r="Q868" s="304">
        <f t="shared" ca="1" si="396"/>
        <v>0</v>
      </c>
      <c r="R868" s="306">
        <f t="shared" ca="1" si="397"/>
        <v>0</v>
      </c>
      <c r="S868" s="307">
        <f t="shared" ca="1" si="398"/>
        <v>2.6792999999999987</v>
      </c>
      <c r="T868" s="304">
        <f t="shared" ca="1" si="378"/>
        <v>26.283932999999987</v>
      </c>
      <c r="U868" s="311">
        <f t="shared" ca="1" si="379"/>
        <v>0</v>
      </c>
      <c r="V868" s="306">
        <f t="shared" ca="1" si="380"/>
        <v>1.2264656214664078</v>
      </c>
      <c r="W868" s="304">
        <f t="shared" ca="1" si="381"/>
        <v>25.405113447647981</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0.31424337704894079</v>
      </c>
      <c r="AH868" s="304">
        <f t="shared" ca="1" si="405"/>
        <v>-9.4819811356393497</v>
      </c>
    </row>
    <row r="869" spans="1:34" x14ac:dyDescent="0.2">
      <c r="A869" s="347">
        <f t="shared" ca="1" si="383"/>
        <v>1E-4</v>
      </c>
      <c r="B869" s="304">
        <f t="shared" ca="1" si="384"/>
        <v>36.635100000001373</v>
      </c>
      <c r="D869" s="306">
        <f t="shared" ca="1" si="385"/>
        <v>-0.50231601922024716</v>
      </c>
      <c r="E869" s="307">
        <f t="shared" ca="1" si="386"/>
        <v>-0.34131805176715169</v>
      </c>
      <c r="F869" s="304">
        <f t="shared" ca="1" si="387"/>
        <v>0.60730502684186616</v>
      </c>
      <c r="G869" s="306">
        <f t="shared" ca="1" si="388"/>
        <v>5.3280658591646022</v>
      </c>
      <c r="H869" s="307">
        <f t="shared" ca="1" si="389"/>
        <v>-100.43528747101688</v>
      </c>
      <c r="I869" s="304">
        <f t="shared" ca="1" si="390"/>
        <v>100.57651443147847</v>
      </c>
      <c r="J869" s="306">
        <f t="shared" ca="1" si="391"/>
        <v>711.72888807733182</v>
      </c>
      <c r="K869" s="307">
        <f t="shared" ca="1" si="392"/>
        <v>-11.967147502506815</v>
      </c>
      <c r="L869" s="304">
        <f t="shared" ca="1" si="377"/>
        <v>711.82948993641855</v>
      </c>
      <c r="M869" s="306">
        <f t="shared" ca="1" si="393"/>
        <v>-1.5177962687266191</v>
      </c>
      <c r="N869" s="304">
        <f t="shared" ca="1" si="394"/>
        <v>-86.963320358739409</v>
      </c>
      <c r="P869" s="310">
        <f t="shared" ca="1" si="395"/>
        <v>23</v>
      </c>
      <c r="Q869" s="304">
        <f t="shared" ca="1" si="396"/>
        <v>0</v>
      </c>
      <c r="R869" s="306">
        <f t="shared" ca="1" si="397"/>
        <v>0</v>
      </c>
      <c r="S869" s="307">
        <f t="shared" ca="1" si="398"/>
        <v>2.6792999999999987</v>
      </c>
      <c r="T869" s="304">
        <f t="shared" ca="1" si="378"/>
        <v>26.283932999999987</v>
      </c>
      <c r="U869" s="311">
        <f t="shared" ca="1" si="379"/>
        <v>0</v>
      </c>
      <c r="V869" s="306">
        <f t="shared" ca="1" si="380"/>
        <v>1.2264668532715304</v>
      </c>
      <c r="W869" s="304">
        <f t="shared" ca="1" si="381"/>
        <v>25.405154837881771</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0.3142281971731542</v>
      </c>
      <c r="AH869" s="304">
        <f t="shared" ca="1" si="405"/>
        <v>-9.4819965840510552</v>
      </c>
    </row>
    <row r="870" spans="1:34" x14ac:dyDescent="0.2">
      <c r="A870" s="347">
        <f t="shared" ca="1" si="383"/>
        <v>1E-4</v>
      </c>
      <c r="B870" s="304">
        <f t="shared" ca="1" si="384"/>
        <v>36.635200000001376</v>
      </c>
      <c r="D870" s="306">
        <f t="shared" ca="1" si="385"/>
        <v>-0.5023119449957536</v>
      </c>
      <c r="E870" s="307">
        <f t="shared" ca="1" si="386"/>
        <v>-0.34130236575488304</v>
      </c>
      <c r="F870" s="304">
        <f t="shared" ca="1" si="387"/>
        <v>0.60729284118561533</v>
      </c>
      <c r="G870" s="306">
        <f t="shared" ca="1" si="388"/>
        <v>5.3280156279701023</v>
      </c>
      <c r="H870" s="307">
        <f t="shared" ca="1" si="389"/>
        <v>-100.43532160125345</v>
      </c>
      <c r="I870" s="304">
        <f t="shared" ca="1" si="390"/>
        <v>100.57654585279364</v>
      </c>
      <c r="J870" s="306">
        <f t="shared" ca="1" si="391"/>
        <v>711.72888807733182</v>
      </c>
      <c r="K870" s="307">
        <f t="shared" ca="1" si="392"/>
        <v>-11.977191032960429</v>
      </c>
      <c r="L870" s="304">
        <f t="shared" ca="1" si="377"/>
        <v>711.82965885725434</v>
      </c>
      <c r="M870" s="306">
        <f t="shared" ca="1" si="393"/>
        <v>-1.5177967854347489</v>
      </c>
      <c r="N870" s="304">
        <f t="shared" ca="1" si="394"/>
        <v>-86.96334996393449</v>
      </c>
      <c r="P870" s="310">
        <f t="shared" ca="1" si="395"/>
        <v>23</v>
      </c>
      <c r="Q870" s="304">
        <f t="shared" ca="1" si="396"/>
        <v>0</v>
      </c>
      <c r="R870" s="306">
        <f t="shared" ca="1" si="397"/>
        <v>0</v>
      </c>
      <c r="S870" s="307">
        <f t="shared" ca="1" si="398"/>
        <v>2.6792999999999987</v>
      </c>
      <c r="T870" s="304">
        <f t="shared" ca="1" si="378"/>
        <v>26.283932999999987</v>
      </c>
      <c r="U870" s="311">
        <f t="shared" ca="1" si="379"/>
        <v>0</v>
      </c>
      <c r="V870" s="306">
        <f t="shared" ca="1" si="380"/>
        <v>1.2264680850783098</v>
      </c>
      <c r="W870" s="304">
        <f t="shared" ca="1" si="381"/>
        <v>25.405196227419854</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0.31421301755170461</v>
      </c>
      <c r="AH870" s="304">
        <f t="shared" ca="1" si="405"/>
        <v>-9.482012032203107</v>
      </c>
    </row>
    <row r="871" spans="1:34" x14ac:dyDescent="0.2">
      <c r="A871" s="347">
        <f t="shared" ca="1" si="383"/>
        <v>1E-4</v>
      </c>
      <c r="B871" s="304">
        <f t="shared" ca="1" si="384"/>
        <v>36.635300000001379</v>
      </c>
      <c r="D871" s="306">
        <f t="shared" ca="1" si="385"/>
        <v>-0.50230787079060946</v>
      </c>
      <c r="E871" s="307">
        <f t="shared" ca="1" si="386"/>
        <v>-0.34128668000620088</v>
      </c>
      <c r="F871" s="304">
        <f t="shared" ca="1" si="387"/>
        <v>0.60728065588148827</v>
      </c>
      <c r="G871" s="306">
        <f t="shared" ca="1" si="388"/>
        <v>5.3279653971830232</v>
      </c>
      <c r="H871" s="307">
        <f t="shared" ca="1" si="389"/>
        <v>-100.43535572992145</v>
      </c>
      <c r="I871" s="304">
        <f t="shared" ca="1" si="390"/>
        <v>100.57657727259088</v>
      </c>
      <c r="J871" s="306">
        <f t="shared" ca="1" si="391"/>
        <v>711.72888807733182</v>
      </c>
      <c r="K871" s="307">
        <f t="shared" ca="1" si="392"/>
        <v>-11.987234566826988</v>
      </c>
      <c r="L871" s="304">
        <f t="shared" ca="1" si="377"/>
        <v>711.82982791981624</v>
      </c>
      <c r="M871" s="306">
        <f t="shared" ca="1" si="393"/>
        <v>-1.5177973021376847</v>
      </c>
      <c r="N871" s="304">
        <f t="shared" ca="1" si="394"/>
        <v>-86.963379568831982</v>
      </c>
      <c r="P871" s="310">
        <f t="shared" ca="1" si="395"/>
        <v>23</v>
      </c>
      <c r="Q871" s="304">
        <f t="shared" ca="1" si="396"/>
        <v>0</v>
      </c>
      <c r="R871" s="306">
        <f t="shared" ca="1" si="397"/>
        <v>0</v>
      </c>
      <c r="S871" s="307">
        <f t="shared" ca="1" si="398"/>
        <v>2.6792999999999987</v>
      </c>
      <c r="T871" s="304">
        <f t="shared" ca="1" si="378"/>
        <v>26.283932999999987</v>
      </c>
      <c r="U871" s="311">
        <f t="shared" ca="1" si="379"/>
        <v>0</v>
      </c>
      <c r="V871" s="306">
        <f t="shared" ca="1" si="380"/>
        <v>1.2264693168867451</v>
      </c>
      <c r="W871" s="304">
        <f t="shared" ca="1" si="381"/>
        <v>25.40523761626223</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0.3141978381846009</v>
      </c>
      <c r="AH871" s="304">
        <f t="shared" ca="1" si="405"/>
        <v>-9.482027480095498</v>
      </c>
    </row>
    <row r="872" spans="1:34" x14ac:dyDescent="0.2">
      <c r="A872" s="347">
        <f t="shared" ca="1" si="383"/>
        <v>1E-4</v>
      </c>
      <c r="B872" s="304">
        <f t="shared" ca="1" si="384"/>
        <v>36.635400000001383</v>
      </c>
      <c r="D872" s="306">
        <f t="shared" ca="1" si="385"/>
        <v>-0.50230379660481539</v>
      </c>
      <c r="E872" s="307">
        <f t="shared" ca="1" si="386"/>
        <v>-0.34127099452110699</v>
      </c>
      <c r="F872" s="304">
        <f t="shared" ca="1" si="387"/>
        <v>0.60726847092948699</v>
      </c>
      <c r="G872" s="306">
        <f t="shared" ca="1" si="388"/>
        <v>5.3279151668033631</v>
      </c>
      <c r="H872" s="307">
        <f t="shared" ca="1" si="389"/>
        <v>-100.43538985702091</v>
      </c>
      <c r="I872" s="304">
        <f t="shared" ca="1" si="390"/>
        <v>100.57660869087023</v>
      </c>
      <c r="J872" s="306">
        <f t="shared" ca="1" si="391"/>
        <v>711.72888807733182</v>
      </c>
      <c r="K872" s="307">
        <f t="shared" ca="1" si="392"/>
        <v>-11.997278104106336</v>
      </c>
      <c r="L872" s="304">
        <f t="shared" ca="1" si="377"/>
        <v>711.82999712410435</v>
      </c>
      <c r="M872" s="306">
        <f t="shared" ca="1" si="393"/>
        <v>-1.5177978188354262</v>
      </c>
      <c r="N872" s="304">
        <f t="shared" ca="1" si="394"/>
        <v>-86.963409173431842</v>
      </c>
      <c r="P872" s="310">
        <f t="shared" ca="1" si="395"/>
        <v>23</v>
      </c>
      <c r="Q872" s="304">
        <f t="shared" ca="1" si="396"/>
        <v>0</v>
      </c>
      <c r="R872" s="306">
        <f t="shared" ca="1" si="397"/>
        <v>0</v>
      </c>
      <c r="S872" s="307">
        <f t="shared" ca="1" si="398"/>
        <v>2.6792999999999987</v>
      </c>
      <c r="T872" s="304">
        <f t="shared" ca="1" si="378"/>
        <v>26.283932999999987</v>
      </c>
      <c r="U872" s="311">
        <f t="shared" ca="1" si="379"/>
        <v>0</v>
      </c>
      <c r="V872" s="306">
        <f t="shared" ca="1" si="380"/>
        <v>1.2264705486968372</v>
      </c>
      <c r="W872" s="304">
        <f t="shared" ca="1" si="381"/>
        <v>25.405279004408943</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0.31418265907184484</v>
      </c>
      <c r="AH872" s="304">
        <f t="shared" ca="1" si="405"/>
        <v>-9.4820429277282283</v>
      </c>
    </row>
    <row r="873" spans="1:34" x14ac:dyDescent="0.2">
      <c r="A873" s="347">
        <f t="shared" ca="1" si="383"/>
        <v>1E-4</v>
      </c>
      <c r="B873" s="304">
        <f t="shared" ca="1" si="384"/>
        <v>36.635500000001386</v>
      </c>
      <c r="D873" s="306">
        <f t="shared" ca="1" si="385"/>
        <v>-0.50229972243837517</v>
      </c>
      <c r="E873" s="307">
        <f t="shared" ca="1" si="386"/>
        <v>-0.34125530929958359</v>
      </c>
      <c r="F873" s="304">
        <f t="shared" ca="1" si="387"/>
        <v>0.60725628632960493</v>
      </c>
      <c r="G873" s="306">
        <f t="shared" ca="1" si="388"/>
        <v>5.3278649368311193</v>
      </c>
      <c r="H873" s="307">
        <f t="shared" ca="1" si="389"/>
        <v>-100.43542398255184</v>
      </c>
      <c r="I873" s="304">
        <f t="shared" ca="1" si="390"/>
        <v>100.57664010763166</v>
      </c>
      <c r="J873" s="306">
        <f t="shared" ca="1" si="391"/>
        <v>711.72888807733182</v>
      </c>
      <c r="K873" s="307">
        <f t="shared" ca="1" si="392"/>
        <v>-12.007321644798314</v>
      </c>
      <c r="L873" s="304">
        <f t="shared" ca="1" si="377"/>
        <v>711.83016647011857</v>
      </c>
      <c r="M873" s="306">
        <f t="shared" ca="1" si="393"/>
        <v>-1.5177983355279736</v>
      </c>
      <c r="N873" s="304">
        <f t="shared" ca="1" si="394"/>
        <v>-86.963438777734126</v>
      </c>
      <c r="P873" s="310">
        <f t="shared" ca="1" si="395"/>
        <v>23</v>
      </c>
      <c r="Q873" s="304">
        <f t="shared" ca="1" si="396"/>
        <v>0</v>
      </c>
      <c r="R873" s="306">
        <f t="shared" ca="1" si="397"/>
        <v>0</v>
      </c>
      <c r="S873" s="307">
        <f t="shared" ca="1" si="398"/>
        <v>2.6792999999999987</v>
      </c>
      <c r="T873" s="304">
        <f t="shared" ca="1" si="378"/>
        <v>26.283932999999987</v>
      </c>
      <c r="U873" s="311">
        <f t="shared" ca="1" si="379"/>
        <v>0</v>
      </c>
      <c r="V873" s="306">
        <f t="shared" ca="1" si="380"/>
        <v>1.2264717805085861</v>
      </c>
      <c r="W873" s="304">
        <f t="shared" ca="1" si="381"/>
        <v>25.405320391859977</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0.31416748021341512</v>
      </c>
      <c r="AH873" s="304">
        <f t="shared" ca="1" si="405"/>
        <v>-9.4820583751013157</v>
      </c>
    </row>
    <row r="874" spans="1:34" x14ac:dyDescent="0.2">
      <c r="A874" s="347">
        <f t="shared" ca="1" si="383"/>
        <v>1E-4</v>
      </c>
      <c r="B874" s="304">
        <f t="shared" ca="1" si="384"/>
        <v>36.635600000001389</v>
      </c>
      <c r="D874" s="306">
        <f t="shared" ca="1" si="385"/>
        <v>-0.50229564829128681</v>
      </c>
      <c r="E874" s="307">
        <f t="shared" ca="1" si="386"/>
        <v>-0.34123962434163602</v>
      </c>
      <c r="F874" s="304">
        <f t="shared" ca="1" si="387"/>
        <v>0.60724410208184398</v>
      </c>
      <c r="G874" s="306">
        <f t="shared" ca="1" si="388"/>
        <v>5.32781470726629</v>
      </c>
      <c r="H874" s="307">
        <f t="shared" ca="1" si="389"/>
        <v>-100.43545810651428</v>
      </c>
      <c r="I874" s="304">
        <f t="shared" ca="1" si="390"/>
        <v>100.57667152287526</v>
      </c>
      <c r="J874" s="306">
        <f t="shared" ca="1" si="391"/>
        <v>711.72888807733182</v>
      </c>
      <c r="K874" s="307">
        <f t="shared" ca="1" si="392"/>
        <v>-12.017365188902767</v>
      </c>
      <c r="L874" s="304">
        <f t="shared" ca="1" si="377"/>
        <v>711.83033595785912</v>
      </c>
      <c r="M874" s="306">
        <f t="shared" ca="1" si="393"/>
        <v>-1.5177988522153272</v>
      </c>
      <c r="N874" s="304">
        <f t="shared" ca="1" si="394"/>
        <v>-86.963468381738807</v>
      </c>
      <c r="P874" s="310">
        <f t="shared" ca="1" si="395"/>
        <v>23</v>
      </c>
      <c r="Q874" s="304">
        <f t="shared" ca="1" si="396"/>
        <v>0</v>
      </c>
      <c r="R874" s="306">
        <f t="shared" ca="1" si="397"/>
        <v>0</v>
      </c>
      <c r="S874" s="307">
        <f t="shared" ca="1" si="398"/>
        <v>2.6792999999999987</v>
      </c>
      <c r="T874" s="304">
        <f t="shared" ca="1" si="378"/>
        <v>26.283932999999987</v>
      </c>
      <c r="U874" s="311">
        <f t="shared" ca="1" si="379"/>
        <v>0</v>
      </c>
      <c r="V874" s="306">
        <f t="shared" ca="1" si="380"/>
        <v>1.2264730123219907</v>
      </c>
      <c r="W874" s="304">
        <f t="shared" ca="1" si="381"/>
        <v>25.405361778615344</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0.31415230160932239</v>
      </c>
      <c r="AH874" s="304">
        <f t="shared" ca="1" si="405"/>
        <v>-9.4820738222147529</v>
      </c>
    </row>
    <row r="875" spans="1:34" x14ac:dyDescent="0.2">
      <c r="A875" s="347">
        <f t="shared" ca="1" si="383"/>
        <v>1E-4</v>
      </c>
      <c r="B875" s="304">
        <f t="shared" ca="1" si="384"/>
        <v>36.635700000001393</v>
      </c>
      <c r="D875" s="306">
        <f t="shared" ca="1" si="385"/>
        <v>-0.50229157416354941</v>
      </c>
      <c r="E875" s="307">
        <f t="shared" ca="1" si="386"/>
        <v>-0.34122393964725717</v>
      </c>
      <c r="F875" s="304">
        <f t="shared" ca="1" si="387"/>
        <v>0.6072319181861997</v>
      </c>
      <c r="G875" s="306">
        <f t="shared" ca="1" si="388"/>
        <v>5.3277644781088735</v>
      </c>
      <c r="H875" s="307">
        <f t="shared" ca="1" si="389"/>
        <v>-100.43549222890825</v>
      </c>
      <c r="I875" s="304">
        <f t="shared" ca="1" si="390"/>
        <v>100.57670293660102</v>
      </c>
      <c r="J875" s="306">
        <f t="shared" ca="1" si="391"/>
        <v>711.72888807733182</v>
      </c>
      <c r="K875" s="307">
        <f t="shared" ca="1" si="392"/>
        <v>-12.027408736419538</v>
      </c>
      <c r="L875" s="304">
        <f t="shared" ca="1" si="377"/>
        <v>711.83050558732589</v>
      </c>
      <c r="M875" s="306">
        <f t="shared" ca="1" si="393"/>
        <v>-1.5177993688974867</v>
      </c>
      <c r="N875" s="304">
        <f t="shared" ca="1" si="394"/>
        <v>-86.963497985445898</v>
      </c>
      <c r="P875" s="310">
        <f t="shared" ca="1" si="395"/>
        <v>23</v>
      </c>
      <c r="Q875" s="304">
        <f t="shared" ca="1" si="396"/>
        <v>0</v>
      </c>
      <c r="R875" s="306">
        <f t="shared" ca="1" si="397"/>
        <v>0</v>
      </c>
      <c r="S875" s="307">
        <f t="shared" ca="1" si="398"/>
        <v>2.6792999999999987</v>
      </c>
      <c r="T875" s="304">
        <f t="shared" ca="1" si="378"/>
        <v>26.283932999999987</v>
      </c>
      <c r="U875" s="311">
        <f t="shared" ca="1" si="379"/>
        <v>0</v>
      </c>
      <c r="V875" s="306">
        <f t="shared" ca="1" si="380"/>
        <v>1.2264742441370522</v>
      </c>
      <c r="W875" s="304">
        <f t="shared" ca="1" si="381"/>
        <v>25.405403164675064</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0.31413712325955601</v>
      </c>
      <c r="AH875" s="304">
        <f t="shared" ca="1" si="405"/>
        <v>-9.4820892690685472</v>
      </c>
    </row>
    <row r="876" spans="1:34" x14ac:dyDescent="0.2">
      <c r="A876" s="347">
        <f t="shared" ca="1" si="383"/>
        <v>1E-4</v>
      </c>
      <c r="B876" s="304">
        <f t="shared" ca="1" si="384"/>
        <v>36.635800000001396</v>
      </c>
      <c r="D876" s="306">
        <f t="shared" ca="1" si="385"/>
        <v>-0.50228750005516576</v>
      </c>
      <c r="E876" s="307">
        <f t="shared" ca="1" si="386"/>
        <v>-0.34120825521644704</v>
      </c>
      <c r="F876" s="304">
        <f t="shared" ca="1" si="387"/>
        <v>0.60721973464267465</v>
      </c>
      <c r="G876" s="306">
        <f t="shared" ca="1" si="388"/>
        <v>5.3277142493588681</v>
      </c>
      <c r="H876" s="307">
        <f t="shared" ca="1" si="389"/>
        <v>-100.43552634973376</v>
      </c>
      <c r="I876" s="304">
        <f t="shared" ca="1" si="390"/>
        <v>100.57673434880896</v>
      </c>
      <c r="J876" s="306">
        <f t="shared" ca="1" si="391"/>
        <v>711.72888807733182</v>
      </c>
      <c r="K876" s="307">
        <f t="shared" ca="1" si="392"/>
        <v>-12.03745228734847</v>
      </c>
      <c r="L876" s="304">
        <f t="shared" ca="1" si="377"/>
        <v>711.8306753585191</v>
      </c>
      <c r="M876" s="306">
        <f t="shared" ca="1" si="393"/>
        <v>-1.5177998855744523</v>
      </c>
      <c r="N876" s="304">
        <f t="shared" ca="1" si="394"/>
        <v>-86.963527588855399</v>
      </c>
      <c r="P876" s="310">
        <f t="shared" ca="1" si="395"/>
        <v>23</v>
      </c>
      <c r="Q876" s="304">
        <f t="shared" ca="1" si="396"/>
        <v>0</v>
      </c>
      <c r="R876" s="306">
        <f t="shared" ca="1" si="397"/>
        <v>0</v>
      </c>
      <c r="S876" s="307">
        <f t="shared" ca="1" si="398"/>
        <v>2.6792999999999987</v>
      </c>
      <c r="T876" s="304">
        <f t="shared" ca="1" si="378"/>
        <v>26.283932999999987</v>
      </c>
      <c r="U876" s="311">
        <f t="shared" ca="1" si="379"/>
        <v>0</v>
      </c>
      <c r="V876" s="306">
        <f t="shared" ca="1" si="380"/>
        <v>1.2264754759537702</v>
      </c>
      <c r="W876" s="304">
        <f t="shared" ca="1" si="381"/>
        <v>25.405444550039135</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0.31412194516411773</v>
      </c>
      <c r="AH876" s="304">
        <f t="shared" ca="1" si="405"/>
        <v>-9.4821047156627021</v>
      </c>
    </row>
    <row r="877" spans="1:34" x14ac:dyDescent="0.2">
      <c r="A877" s="347">
        <f t="shared" ca="1" si="383"/>
        <v>1E-4</v>
      </c>
      <c r="B877" s="304">
        <f t="shared" ca="1" si="384"/>
        <v>36.635900000001399</v>
      </c>
      <c r="D877" s="306">
        <f t="shared" ca="1" si="385"/>
        <v>-0.50228342596613462</v>
      </c>
      <c r="E877" s="307">
        <f t="shared" ca="1" si="386"/>
        <v>-0.34119257104919853</v>
      </c>
      <c r="F877" s="304">
        <f t="shared" ca="1" si="387"/>
        <v>0.60720755145126437</v>
      </c>
      <c r="G877" s="306">
        <f t="shared" ca="1" si="388"/>
        <v>5.3276640210162718</v>
      </c>
      <c r="H877" s="307">
        <f t="shared" ca="1" si="389"/>
        <v>-100.43556046899087</v>
      </c>
      <c r="I877" s="304">
        <f t="shared" ca="1" si="390"/>
        <v>100.57676575949911</v>
      </c>
      <c r="J877" s="306">
        <f t="shared" ca="1" si="391"/>
        <v>711.72888807733182</v>
      </c>
      <c r="K877" s="307">
        <f t="shared" ca="1" si="392"/>
        <v>-12.047495841689406</v>
      </c>
      <c r="L877" s="304">
        <f t="shared" ca="1" si="377"/>
        <v>711.83084527143853</v>
      </c>
      <c r="M877" s="306">
        <f t="shared" ca="1" si="393"/>
        <v>-1.5178004022462241</v>
      </c>
      <c r="N877" s="304">
        <f t="shared" ca="1" si="394"/>
        <v>-86.963557191967311</v>
      </c>
      <c r="P877" s="310">
        <f t="shared" ca="1" si="395"/>
        <v>23</v>
      </c>
      <c r="Q877" s="304">
        <f t="shared" ca="1" si="396"/>
        <v>0</v>
      </c>
      <c r="R877" s="306">
        <f t="shared" ca="1" si="397"/>
        <v>0</v>
      </c>
      <c r="S877" s="307">
        <f t="shared" ca="1" si="398"/>
        <v>2.6792999999999987</v>
      </c>
      <c r="T877" s="304">
        <f t="shared" ca="1" si="378"/>
        <v>26.283932999999987</v>
      </c>
      <c r="U877" s="311">
        <f t="shared" ca="1" si="379"/>
        <v>0</v>
      </c>
      <c r="V877" s="306">
        <f t="shared" ca="1" si="380"/>
        <v>1.2264767077721441</v>
      </c>
      <c r="W877" s="304">
        <f t="shared" ca="1" si="381"/>
        <v>25.405485934707567</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0.31410676732300047</v>
      </c>
      <c r="AH877" s="304">
        <f t="shared" ca="1" si="405"/>
        <v>-9.4821201619972193</v>
      </c>
    </row>
    <row r="878" spans="1:34" x14ac:dyDescent="0.2">
      <c r="A878" s="347">
        <f t="shared" ca="1" si="383"/>
        <v>1E-4</v>
      </c>
      <c r="B878" s="304">
        <f t="shared" ca="1" si="384"/>
        <v>36.636000000001403</v>
      </c>
      <c r="D878" s="306">
        <f t="shared" ca="1" si="385"/>
        <v>-0.50227935189645667</v>
      </c>
      <c r="E878" s="307">
        <f t="shared" ca="1" si="386"/>
        <v>-0.34117688714551342</v>
      </c>
      <c r="F878" s="304">
        <f t="shared" ca="1" si="387"/>
        <v>0.60719536861197065</v>
      </c>
      <c r="G878" s="306">
        <f t="shared" ca="1" si="388"/>
        <v>5.3276137930810821</v>
      </c>
      <c r="H878" s="307">
        <f t="shared" ca="1" si="389"/>
        <v>-100.43559458667958</v>
      </c>
      <c r="I878" s="304">
        <f t="shared" ca="1" si="390"/>
        <v>100.5767971686715</v>
      </c>
      <c r="J878" s="306">
        <f t="shared" ca="1" si="391"/>
        <v>711.72888807733182</v>
      </c>
      <c r="K878" s="307">
        <f t="shared" ca="1" si="392"/>
        <v>-12.05753939944219</v>
      </c>
      <c r="L878" s="304">
        <f t="shared" ca="1" si="377"/>
        <v>711.83101532608441</v>
      </c>
      <c r="M878" s="306">
        <f t="shared" ca="1" si="393"/>
        <v>-1.5178009189128021</v>
      </c>
      <c r="N878" s="304">
        <f t="shared" ca="1" si="394"/>
        <v>-86.963586794781648</v>
      </c>
      <c r="P878" s="310">
        <f t="shared" ca="1" si="395"/>
        <v>23</v>
      </c>
      <c r="Q878" s="304">
        <f t="shared" ca="1" si="396"/>
        <v>0</v>
      </c>
      <c r="R878" s="306">
        <f t="shared" ca="1" si="397"/>
        <v>0</v>
      </c>
      <c r="S878" s="307">
        <f t="shared" ca="1" si="398"/>
        <v>2.6792999999999987</v>
      </c>
      <c r="T878" s="304">
        <f t="shared" ca="1" si="378"/>
        <v>26.283932999999987</v>
      </c>
      <c r="U878" s="311">
        <f t="shared" ca="1" si="379"/>
        <v>0</v>
      </c>
      <c r="V878" s="306">
        <f t="shared" ca="1" si="380"/>
        <v>1.2264779395921745</v>
      </c>
      <c r="W878" s="304">
        <f t="shared" ca="1" si="381"/>
        <v>25.405527318680374</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0.31409158973620599</v>
      </c>
      <c r="AH878" s="304">
        <f t="shared" ca="1" si="405"/>
        <v>-9.4821356080721007</v>
      </c>
    </row>
    <row r="879" spans="1:34" x14ac:dyDescent="0.2">
      <c r="A879" s="347">
        <f t="shared" ca="1" si="383"/>
        <v>1E-4</v>
      </c>
      <c r="B879" s="304">
        <f t="shared" ca="1" si="384"/>
        <v>36.636100000001406</v>
      </c>
      <c r="D879" s="306">
        <f t="shared" ca="1" si="385"/>
        <v>-0.50227527784613279</v>
      </c>
      <c r="E879" s="307">
        <f t="shared" ca="1" si="386"/>
        <v>-0.34116120350538282</v>
      </c>
      <c r="F879" s="304">
        <f t="shared" ca="1" si="387"/>
        <v>0.60718318612478972</v>
      </c>
      <c r="G879" s="306">
        <f t="shared" ca="1" si="388"/>
        <v>5.3275635655532971</v>
      </c>
      <c r="H879" s="307">
        <f t="shared" ca="1" si="389"/>
        <v>-100.43562870279993</v>
      </c>
      <c r="I879" s="304">
        <f t="shared" ca="1" si="390"/>
        <v>100.57682857632616</v>
      </c>
      <c r="J879" s="306">
        <f t="shared" ca="1" si="391"/>
        <v>711.72888807733182</v>
      </c>
      <c r="K879" s="307">
        <f t="shared" ca="1" si="392"/>
        <v>-12.067582960606664</v>
      </c>
      <c r="L879" s="304">
        <f t="shared" ca="1" si="377"/>
        <v>711.83118552245674</v>
      </c>
      <c r="M879" s="306">
        <f t="shared" ca="1" si="393"/>
        <v>-1.5178014355741865</v>
      </c>
      <c r="N879" s="304">
        <f t="shared" ca="1" si="394"/>
        <v>-86.963616397298409</v>
      </c>
      <c r="P879" s="310">
        <f t="shared" ca="1" si="395"/>
        <v>23</v>
      </c>
      <c r="Q879" s="304">
        <f t="shared" ca="1" si="396"/>
        <v>0</v>
      </c>
      <c r="R879" s="306">
        <f t="shared" ca="1" si="397"/>
        <v>0</v>
      </c>
      <c r="S879" s="307">
        <f t="shared" ca="1" si="398"/>
        <v>2.6792999999999987</v>
      </c>
      <c r="T879" s="304">
        <f t="shared" ca="1" si="378"/>
        <v>26.283932999999987</v>
      </c>
      <c r="U879" s="311">
        <f t="shared" ca="1" si="379"/>
        <v>0</v>
      </c>
      <c r="V879" s="306">
        <f t="shared" ca="1" si="380"/>
        <v>1.2264791714138621</v>
      </c>
      <c r="W879" s="304">
        <f t="shared" ca="1" si="381"/>
        <v>25.405568701957581</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0.31407641240372541</v>
      </c>
      <c r="AH879" s="304">
        <f t="shared" ca="1" si="405"/>
        <v>-9.4821510538873532</v>
      </c>
    </row>
    <row r="880" spans="1:34" x14ac:dyDescent="0.2">
      <c r="A880" s="347">
        <f t="shared" ca="1" si="383"/>
        <v>1E-4</v>
      </c>
      <c r="B880" s="304">
        <f t="shared" ca="1" si="384"/>
        <v>36.636200000001409</v>
      </c>
      <c r="D880" s="306">
        <f t="shared" ca="1" si="385"/>
        <v>-0.50227120381516233</v>
      </c>
      <c r="E880" s="307">
        <f t="shared" ca="1" si="386"/>
        <v>-0.34114552012879962</v>
      </c>
      <c r="F880" s="304">
        <f t="shared" ca="1" si="387"/>
        <v>0.60717100398971757</v>
      </c>
      <c r="G880" s="306">
        <f t="shared" ca="1" si="388"/>
        <v>5.3275133384329152</v>
      </c>
      <c r="H880" s="307">
        <f t="shared" ca="1" si="389"/>
        <v>-100.43566281735194</v>
      </c>
      <c r="I880" s="304">
        <f t="shared" ca="1" si="390"/>
        <v>100.57685998246312</v>
      </c>
      <c r="J880" s="306">
        <f t="shared" ca="1" si="391"/>
        <v>711.72888807733182</v>
      </c>
      <c r="K880" s="307">
        <f t="shared" ca="1" si="392"/>
        <v>-12.077626525182671</v>
      </c>
      <c r="L880" s="304">
        <f t="shared" ca="1" si="377"/>
        <v>711.83135586055562</v>
      </c>
      <c r="M880" s="306">
        <f t="shared" ca="1" si="393"/>
        <v>-1.5178019522303772</v>
      </c>
      <c r="N880" s="304">
        <f t="shared" ca="1" si="394"/>
        <v>-86.963645999517595</v>
      </c>
      <c r="P880" s="310">
        <f t="shared" ca="1" si="395"/>
        <v>23</v>
      </c>
      <c r="Q880" s="304">
        <f t="shared" ca="1" si="396"/>
        <v>0</v>
      </c>
      <c r="R880" s="306">
        <f t="shared" ca="1" si="397"/>
        <v>0</v>
      </c>
      <c r="S880" s="307">
        <f t="shared" ca="1" si="398"/>
        <v>2.6792999999999987</v>
      </c>
      <c r="T880" s="304">
        <f t="shared" ca="1" si="378"/>
        <v>26.283932999999987</v>
      </c>
      <c r="U880" s="311">
        <f t="shared" ca="1" si="379"/>
        <v>0</v>
      </c>
      <c r="V880" s="306">
        <f t="shared" ca="1" si="380"/>
        <v>1.2264804032372054</v>
      </c>
      <c r="W880" s="304">
        <f t="shared" ca="1" si="381"/>
        <v>25.405610084539173</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0.31406123532555164</v>
      </c>
      <c r="AH880" s="304">
        <f t="shared" ca="1" si="405"/>
        <v>-9.482166499442986</v>
      </c>
    </row>
    <row r="881" spans="1:34" x14ac:dyDescent="0.2">
      <c r="A881" s="347">
        <f t="shared" ca="1" si="383"/>
        <v>1E-4</v>
      </c>
      <c r="B881" s="304">
        <f t="shared" ca="1" si="384"/>
        <v>36.636300000001413</v>
      </c>
      <c r="D881" s="306">
        <f t="shared" ca="1" si="385"/>
        <v>-0.50226712980354538</v>
      </c>
      <c r="E881" s="307">
        <f t="shared" ca="1" si="386"/>
        <v>-0.3411298370157656</v>
      </c>
      <c r="F881" s="304">
        <f t="shared" ca="1" si="387"/>
        <v>0.60715882220675532</v>
      </c>
      <c r="G881" s="306">
        <f t="shared" ca="1" si="388"/>
        <v>5.3274631117199345</v>
      </c>
      <c r="H881" s="307">
        <f t="shared" ca="1" si="389"/>
        <v>-100.43569693033564</v>
      </c>
      <c r="I881" s="304">
        <f t="shared" ca="1" si="390"/>
        <v>100.5768913870824</v>
      </c>
      <c r="J881" s="306">
        <f t="shared" ca="1" si="391"/>
        <v>711.72888807733182</v>
      </c>
      <c r="K881" s="307">
        <f t="shared" ca="1" si="392"/>
        <v>-12.087670093170056</v>
      </c>
      <c r="L881" s="304">
        <f t="shared" ca="1" si="377"/>
        <v>711.83152634038095</v>
      </c>
      <c r="M881" s="306">
        <f t="shared" ca="1" si="393"/>
        <v>-1.5178024688813745</v>
      </c>
      <c r="N881" s="304">
        <f t="shared" ca="1" si="394"/>
        <v>-86.96367560143922</v>
      </c>
      <c r="P881" s="310">
        <f t="shared" ca="1" si="395"/>
        <v>23</v>
      </c>
      <c r="Q881" s="304">
        <f t="shared" ca="1" si="396"/>
        <v>0</v>
      </c>
      <c r="R881" s="306">
        <f t="shared" ca="1" si="397"/>
        <v>0</v>
      </c>
      <c r="S881" s="307">
        <f t="shared" ca="1" si="398"/>
        <v>2.6792999999999987</v>
      </c>
      <c r="T881" s="304">
        <f t="shared" ca="1" si="378"/>
        <v>26.283932999999987</v>
      </c>
      <c r="U881" s="311">
        <f t="shared" ca="1" si="379"/>
        <v>0</v>
      </c>
      <c r="V881" s="306">
        <f t="shared" ca="1" si="380"/>
        <v>1.2264816350622048</v>
      </c>
      <c r="W881" s="304">
        <f t="shared" ca="1" si="381"/>
        <v>25.405651466425166</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0.31404605850168998</v>
      </c>
      <c r="AH881" s="304">
        <f t="shared" ca="1" si="405"/>
        <v>-9.4821819447389935</v>
      </c>
    </row>
    <row r="882" spans="1:34" x14ac:dyDescent="0.2">
      <c r="A882" s="347">
        <f t="shared" ca="1" si="383"/>
        <v>1E-4</v>
      </c>
      <c r="B882" s="304">
        <f t="shared" ca="1" si="384"/>
        <v>36.636400000001416</v>
      </c>
      <c r="D882" s="306">
        <f t="shared" ca="1" si="385"/>
        <v>-0.50226305581128083</v>
      </c>
      <c r="E882" s="307">
        <f t="shared" ca="1" si="386"/>
        <v>-0.34111415416628077</v>
      </c>
      <c r="F882" s="304">
        <f t="shared" ca="1" si="387"/>
        <v>0.60714664077590264</v>
      </c>
      <c r="G882" s="306">
        <f t="shared" ca="1" si="388"/>
        <v>5.3274128854143532</v>
      </c>
      <c r="H882" s="307">
        <f t="shared" ca="1" si="389"/>
        <v>-100.43573104175105</v>
      </c>
      <c r="I882" s="304">
        <f t="shared" ca="1" si="390"/>
        <v>100.57692279018401</v>
      </c>
      <c r="J882" s="306">
        <f t="shared" ca="1" si="391"/>
        <v>711.72888807733182</v>
      </c>
      <c r="K882" s="307">
        <f t="shared" ca="1" si="392"/>
        <v>-12.09771366456866</v>
      </c>
      <c r="L882" s="304">
        <f t="shared" ca="1" si="377"/>
        <v>711.83169696193283</v>
      </c>
      <c r="M882" s="306">
        <f t="shared" ca="1" si="393"/>
        <v>-1.517802985527178</v>
      </c>
      <c r="N882" s="304">
        <f t="shared" ca="1" si="394"/>
        <v>-86.96370520306327</v>
      </c>
      <c r="P882" s="310">
        <f t="shared" ca="1" si="395"/>
        <v>23</v>
      </c>
      <c r="Q882" s="304">
        <f t="shared" ca="1" si="396"/>
        <v>0</v>
      </c>
      <c r="R882" s="306">
        <f t="shared" ca="1" si="397"/>
        <v>0</v>
      </c>
      <c r="S882" s="307">
        <f t="shared" ca="1" si="398"/>
        <v>2.6792999999999987</v>
      </c>
      <c r="T882" s="304">
        <f t="shared" ca="1" si="378"/>
        <v>26.283932999999987</v>
      </c>
      <c r="U882" s="311">
        <f t="shared" ca="1" si="379"/>
        <v>0</v>
      </c>
      <c r="V882" s="306">
        <f t="shared" ca="1" si="380"/>
        <v>1.2264828668888608</v>
      </c>
      <c r="W882" s="304">
        <f t="shared" ca="1" si="381"/>
        <v>25.405692847615576</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0.31403088193213335</v>
      </c>
      <c r="AH882" s="304">
        <f t="shared" ca="1" si="405"/>
        <v>-9.4821973897753811</v>
      </c>
    </row>
    <row r="883" spans="1:34" x14ac:dyDescent="0.2">
      <c r="A883" s="347">
        <f t="shared" ca="1" si="383"/>
        <v>1E-4</v>
      </c>
      <c r="B883" s="304">
        <f t="shared" ca="1" si="384"/>
        <v>36.636500000001419</v>
      </c>
      <c r="D883" s="306">
        <f t="shared" ca="1" si="385"/>
        <v>-0.50225898183837392</v>
      </c>
      <c r="E883" s="307">
        <f t="shared" ca="1" si="386"/>
        <v>-0.34109847158033446</v>
      </c>
      <c r="F883" s="304">
        <f t="shared" ca="1" si="387"/>
        <v>0.60713445969715829</v>
      </c>
      <c r="G883" s="306">
        <f t="shared" ca="1" si="388"/>
        <v>5.3273626595161696</v>
      </c>
      <c r="H883" s="307">
        <f t="shared" ca="1" si="389"/>
        <v>-100.43576515159822</v>
      </c>
      <c r="I883" s="304">
        <f t="shared" ca="1" si="390"/>
        <v>100.576954191768</v>
      </c>
      <c r="J883" s="306">
        <f t="shared" ca="1" si="391"/>
        <v>711.72888807733182</v>
      </c>
      <c r="K883" s="307">
        <f t="shared" ca="1" si="392"/>
        <v>-12.107757239378328</v>
      </c>
      <c r="L883" s="304">
        <f t="shared" ca="1" si="377"/>
        <v>711.8318677252114</v>
      </c>
      <c r="M883" s="306">
        <f t="shared" ca="1" si="393"/>
        <v>-1.5178035021677883</v>
      </c>
      <c r="N883" s="304">
        <f t="shared" ca="1" si="394"/>
        <v>-86.963734804389759</v>
      </c>
      <c r="P883" s="310">
        <f t="shared" ca="1" si="395"/>
        <v>23</v>
      </c>
      <c r="Q883" s="304">
        <f t="shared" ca="1" si="396"/>
        <v>0</v>
      </c>
      <c r="R883" s="306">
        <f t="shared" ca="1" si="397"/>
        <v>0</v>
      </c>
      <c r="S883" s="307">
        <f t="shared" ca="1" si="398"/>
        <v>2.6792999999999987</v>
      </c>
      <c r="T883" s="304">
        <f t="shared" ca="1" si="378"/>
        <v>26.283932999999987</v>
      </c>
      <c r="U883" s="311">
        <f t="shared" ca="1" si="379"/>
        <v>0</v>
      </c>
      <c r="V883" s="306">
        <f t="shared" ca="1" si="380"/>
        <v>1.226484098717173</v>
      </c>
      <c r="W883" s="304">
        <f t="shared" ca="1" si="381"/>
        <v>25.405734228110404</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0.31401570561687819</v>
      </c>
      <c r="AH883" s="304">
        <f t="shared" ca="1" si="405"/>
        <v>-9.4822128345521541</v>
      </c>
    </row>
    <row r="884" spans="1:34" x14ac:dyDescent="0.2">
      <c r="A884" s="347">
        <f t="shared" ca="1" si="383"/>
        <v>1E-4</v>
      </c>
      <c r="B884" s="304">
        <f t="shared" ca="1" si="384"/>
        <v>36.636600000001422</v>
      </c>
      <c r="D884" s="306">
        <f t="shared" ca="1" si="385"/>
        <v>-0.50225490788481897</v>
      </c>
      <c r="E884" s="307">
        <f t="shared" ca="1" si="386"/>
        <v>-0.34108278925792668</v>
      </c>
      <c r="F884" s="304">
        <f t="shared" ca="1" si="387"/>
        <v>0.60712227897051774</v>
      </c>
      <c r="G884" s="306">
        <f t="shared" ca="1" si="388"/>
        <v>5.327312434025381</v>
      </c>
      <c r="H884" s="307">
        <f t="shared" ca="1" si="389"/>
        <v>-100.43579925987714</v>
      </c>
      <c r="I884" s="304">
        <f t="shared" ca="1" si="390"/>
        <v>100.57698559183437</v>
      </c>
      <c r="J884" s="306">
        <f t="shared" ca="1" si="391"/>
        <v>711.72888807733182</v>
      </c>
      <c r="K884" s="307">
        <f t="shared" ca="1" si="392"/>
        <v>-12.117800817598901</v>
      </c>
      <c r="L884" s="304">
        <f t="shared" ca="1" si="377"/>
        <v>711.83203863021652</v>
      </c>
      <c r="M884" s="306">
        <f t="shared" ca="1" si="393"/>
        <v>-1.5178040188032049</v>
      </c>
      <c r="N884" s="304">
        <f t="shared" ca="1" si="394"/>
        <v>-86.963764405418686</v>
      </c>
      <c r="P884" s="310">
        <f t="shared" ca="1" si="395"/>
        <v>23</v>
      </c>
      <c r="Q884" s="304">
        <f t="shared" ca="1" si="396"/>
        <v>0</v>
      </c>
      <c r="R884" s="306">
        <f t="shared" ca="1" si="397"/>
        <v>0</v>
      </c>
      <c r="S884" s="307">
        <f t="shared" ca="1" si="398"/>
        <v>2.6792999999999987</v>
      </c>
      <c r="T884" s="304">
        <f t="shared" ca="1" si="378"/>
        <v>26.283932999999987</v>
      </c>
      <c r="U884" s="311">
        <f t="shared" ca="1" si="379"/>
        <v>0</v>
      </c>
      <c r="V884" s="306">
        <f t="shared" ca="1" si="380"/>
        <v>1.2264853305471419</v>
      </c>
      <c r="W884" s="304">
        <f t="shared" ca="1" si="381"/>
        <v>25.405775607909671</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0.31400052955592095</v>
      </c>
      <c r="AH884" s="304">
        <f t="shared" ca="1" si="405"/>
        <v>-9.4822282790693162</v>
      </c>
    </row>
    <row r="885" spans="1:34" x14ac:dyDescent="0.2">
      <c r="A885" s="347">
        <f t="shared" ca="1" si="383"/>
        <v>1E-4</v>
      </c>
      <c r="B885" s="304">
        <f t="shared" ca="1" si="384"/>
        <v>36.636700000001426</v>
      </c>
      <c r="D885" s="306">
        <f t="shared" ca="1" si="385"/>
        <v>-0.50225083395062131</v>
      </c>
      <c r="E885" s="307">
        <f t="shared" ca="1" si="386"/>
        <v>-0.34106710719905209</v>
      </c>
      <c r="F885" s="304">
        <f t="shared" ca="1" si="387"/>
        <v>0.60711009859598308</v>
      </c>
      <c r="G885" s="306">
        <f t="shared" ca="1" si="388"/>
        <v>5.3272622089419857</v>
      </c>
      <c r="H885" s="307">
        <f t="shared" ca="1" si="389"/>
        <v>-100.43583336658786</v>
      </c>
      <c r="I885" s="304">
        <f t="shared" ca="1" si="390"/>
        <v>100.57701699038317</v>
      </c>
      <c r="J885" s="306">
        <f t="shared" ca="1" si="391"/>
        <v>711.72888807733182</v>
      </c>
      <c r="K885" s="307">
        <f t="shared" ca="1" si="392"/>
        <v>-12.127844399230225</v>
      </c>
      <c r="L885" s="304">
        <f t="shared" ca="1" si="377"/>
        <v>711.83220967694842</v>
      </c>
      <c r="M885" s="306">
        <f t="shared" ca="1" si="393"/>
        <v>-1.5178045354334284</v>
      </c>
      <c r="N885" s="304">
        <f t="shared" ca="1" si="394"/>
        <v>-86.963794006150067</v>
      </c>
      <c r="P885" s="310">
        <f t="shared" ca="1" si="395"/>
        <v>23</v>
      </c>
      <c r="Q885" s="304">
        <f t="shared" ca="1" si="396"/>
        <v>0</v>
      </c>
      <c r="R885" s="306">
        <f t="shared" ca="1" si="397"/>
        <v>0</v>
      </c>
      <c r="S885" s="307">
        <f t="shared" ca="1" si="398"/>
        <v>2.6792999999999987</v>
      </c>
      <c r="T885" s="304">
        <f t="shared" ca="1" si="378"/>
        <v>26.283932999999987</v>
      </c>
      <c r="U885" s="311">
        <f t="shared" ca="1" si="379"/>
        <v>0</v>
      </c>
      <c r="V885" s="306">
        <f t="shared" ca="1" si="380"/>
        <v>1.2264865623787669</v>
      </c>
      <c r="W885" s="304">
        <f t="shared" ca="1" si="381"/>
        <v>25.405816987013381</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0.31398535374925629</v>
      </c>
      <c r="AH885" s="304">
        <f t="shared" ca="1" si="405"/>
        <v>-9.4822437233268708</v>
      </c>
    </row>
    <row r="886" spans="1:34" x14ac:dyDescent="0.2">
      <c r="A886" s="347">
        <f t="shared" ca="1" si="383"/>
        <v>1E-4</v>
      </c>
      <c r="B886" s="304">
        <f t="shared" ca="1" si="384"/>
        <v>36.636800000001429</v>
      </c>
      <c r="D886" s="306">
        <f t="shared" ca="1" si="385"/>
        <v>-0.50224676003577728</v>
      </c>
      <c r="E886" s="307">
        <f t="shared" ca="1" si="386"/>
        <v>-0.34105142540370714</v>
      </c>
      <c r="F886" s="304">
        <f t="shared" ca="1" si="387"/>
        <v>0.60709791857354944</v>
      </c>
      <c r="G886" s="306">
        <f t="shared" ca="1" si="388"/>
        <v>5.3272119842659817</v>
      </c>
      <c r="H886" s="307">
        <f t="shared" ca="1" si="389"/>
        <v>-100.4358674717304</v>
      </c>
      <c r="I886" s="304">
        <f t="shared" ca="1" si="390"/>
        <v>100.57704838741441</v>
      </c>
      <c r="J886" s="306">
        <f t="shared" ca="1" si="391"/>
        <v>711.72888807733182</v>
      </c>
      <c r="K886" s="307">
        <f t="shared" ca="1" si="392"/>
        <v>-12.137887984272142</v>
      </c>
      <c r="L886" s="304">
        <f t="shared" ca="1" si="377"/>
        <v>711.832380865407</v>
      </c>
      <c r="M886" s="306">
        <f t="shared" ca="1" si="393"/>
        <v>-1.5178050520584587</v>
      </c>
      <c r="N886" s="304">
        <f t="shared" ca="1" si="394"/>
        <v>-86.963823606583887</v>
      </c>
      <c r="P886" s="310">
        <f t="shared" ca="1" si="395"/>
        <v>23</v>
      </c>
      <c r="Q886" s="304">
        <f t="shared" ca="1" si="396"/>
        <v>0</v>
      </c>
      <c r="R886" s="306">
        <f t="shared" ca="1" si="397"/>
        <v>0</v>
      </c>
      <c r="S886" s="307">
        <f t="shared" ca="1" si="398"/>
        <v>2.6792999999999987</v>
      </c>
      <c r="T886" s="304">
        <f t="shared" ca="1" si="378"/>
        <v>26.283932999999987</v>
      </c>
      <c r="U886" s="311">
        <f t="shared" ca="1" si="379"/>
        <v>0</v>
      </c>
      <c r="V886" s="306">
        <f t="shared" ca="1" si="380"/>
        <v>1.2264877942120478</v>
      </c>
      <c r="W886" s="304">
        <f t="shared" ca="1" si="381"/>
        <v>25.405858365421537</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0.313970178196886</v>
      </c>
      <c r="AH886" s="304">
        <f t="shared" ca="1" si="405"/>
        <v>-9.4822591673248215</v>
      </c>
    </row>
    <row r="887" spans="1:34" x14ac:dyDescent="0.2">
      <c r="A887" s="347">
        <f t="shared" ca="1" si="383"/>
        <v>1E-4</v>
      </c>
      <c r="B887" s="304">
        <f t="shared" ca="1" si="384"/>
        <v>36.636900000001432</v>
      </c>
      <c r="D887" s="306">
        <f t="shared" ca="1" si="385"/>
        <v>-0.50224268614028766</v>
      </c>
      <c r="E887" s="307">
        <f t="shared" ca="1" si="386"/>
        <v>-0.34103574387189184</v>
      </c>
      <c r="F887" s="304">
        <f t="shared" ca="1" si="387"/>
        <v>0.60708573890321793</v>
      </c>
      <c r="G887" s="306">
        <f t="shared" ca="1" si="388"/>
        <v>5.3271617599973675</v>
      </c>
      <c r="H887" s="307">
        <f t="shared" ca="1" si="389"/>
        <v>-100.4359015753048</v>
      </c>
      <c r="I887" s="304">
        <f t="shared" ca="1" si="390"/>
        <v>100.57707978292812</v>
      </c>
      <c r="J887" s="306">
        <f t="shared" ca="1" si="391"/>
        <v>711.72888807733182</v>
      </c>
      <c r="K887" s="307">
        <f t="shared" ca="1" si="392"/>
        <v>-12.147931572724493</v>
      </c>
      <c r="L887" s="304">
        <f t="shared" ca="1" si="377"/>
        <v>711.83255219559237</v>
      </c>
      <c r="M887" s="306">
        <f t="shared" ca="1" si="393"/>
        <v>-1.5178055686782956</v>
      </c>
      <c r="N887" s="304">
        <f t="shared" ca="1" si="394"/>
        <v>-86.96385320672016</v>
      </c>
      <c r="P887" s="310">
        <f t="shared" ca="1" si="395"/>
        <v>23</v>
      </c>
      <c r="Q887" s="304">
        <f t="shared" ca="1" si="396"/>
        <v>0</v>
      </c>
      <c r="R887" s="306">
        <f t="shared" ca="1" si="397"/>
        <v>0</v>
      </c>
      <c r="S887" s="307">
        <f t="shared" ca="1" si="398"/>
        <v>2.6792999999999987</v>
      </c>
      <c r="T887" s="304">
        <f t="shared" ca="1" si="378"/>
        <v>26.283932999999987</v>
      </c>
      <c r="U887" s="311">
        <f t="shared" ca="1" si="379"/>
        <v>0</v>
      </c>
      <c r="V887" s="306">
        <f t="shared" ca="1" si="380"/>
        <v>1.2264890260469852</v>
      </c>
      <c r="W887" s="304">
        <f t="shared" ca="1" si="381"/>
        <v>25.40589974313416</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0.31395500289880296</v>
      </c>
      <c r="AH887" s="304">
        <f t="shared" ca="1" si="405"/>
        <v>-9.4822746110631684</v>
      </c>
    </row>
    <row r="888" spans="1:34" x14ac:dyDescent="0.2">
      <c r="A888" s="347">
        <f t="shared" ca="1" si="383"/>
        <v>1E-4</v>
      </c>
      <c r="B888" s="304">
        <f t="shared" ca="1" si="384"/>
        <v>36.637000000001436</v>
      </c>
      <c r="D888" s="306">
        <f t="shared" ca="1" si="385"/>
        <v>-0.50223861226415578</v>
      </c>
      <c r="E888" s="307">
        <f t="shared" ca="1" si="386"/>
        <v>-0.34102006260359552</v>
      </c>
      <c r="F888" s="304">
        <f t="shared" ca="1" si="387"/>
        <v>0.60707355958498577</v>
      </c>
      <c r="G888" s="306">
        <f t="shared" ca="1" si="388"/>
        <v>5.3271115361361412</v>
      </c>
      <c r="H888" s="307">
        <f t="shared" ca="1" si="389"/>
        <v>-100.43593567731105</v>
      </c>
      <c r="I888" s="304">
        <f t="shared" ca="1" si="390"/>
        <v>100.57711117692433</v>
      </c>
      <c r="J888" s="306">
        <f t="shared" ca="1" si="391"/>
        <v>711.72888807733182</v>
      </c>
      <c r="K888" s="307">
        <f t="shared" ca="1" si="392"/>
        <v>-12.157975164587125</v>
      </c>
      <c r="L888" s="304">
        <f t="shared" ca="1" si="377"/>
        <v>711.83272366750452</v>
      </c>
      <c r="M888" s="306">
        <f t="shared" ca="1" si="393"/>
        <v>-1.5178060852929396</v>
      </c>
      <c r="N888" s="304">
        <f t="shared" ca="1" si="394"/>
        <v>-86.963882806558885</v>
      </c>
      <c r="P888" s="310">
        <f t="shared" ca="1" si="395"/>
        <v>23</v>
      </c>
      <c r="Q888" s="304">
        <f t="shared" ca="1" si="396"/>
        <v>0</v>
      </c>
      <c r="R888" s="306">
        <f t="shared" ca="1" si="397"/>
        <v>0</v>
      </c>
      <c r="S888" s="307">
        <f t="shared" ca="1" si="398"/>
        <v>2.6792999999999987</v>
      </c>
      <c r="T888" s="304">
        <f t="shared" ca="1" si="378"/>
        <v>26.283932999999987</v>
      </c>
      <c r="U888" s="311">
        <f t="shared" ca="1" si="379"/>
        <v>0</v>
      </c>
      <c r="V888" s="306">
        <f t="shared" ca="1" si="380"/>
        <v>1.2264902578835788</v>
      </c>
      <c r="W888" s="304">
        <f t="shared" ca="1" si="381"/>
        <v>25.405941120151251</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0.31393982785500008</v>
      </c>
      <c r="AH888" s="304">
        <f t="shared" ca="1" si="405"/>
        <v>-9.482290054541922</v>
      </c>
    </row>
    <row r="889" spans="1:34" x14ac:dyDescent="0.2">
      <c r="A889" s="347">
        <f t="shared" ca="1" si="383"/>
        <v>1E-4</v>
      </c>
      <c r="B889" s="304">
        <f t="shared" ca="1" si="384"/>
        <v>36.637100000001439</v>
      </c>
      <c r="D889" s="306">
        <f t="shared" ca="1" si="385"/>
        <v>-0.50223453840737797</v>
      </c>
      <c r="E889" s="307">
        <f t="shared" ca="1" si="386"/>
        <v>-0.34100438159881996</v>
      </c>
      <c r="F889" s="304">
        <f t="shared" ca="1" si="387"/>
        <v>0.60706138061885118</v>
      </c>
      <c r="G889" s="306">
        <f t="shared" ca="1" si="388"/>
        <v>5.3270613126823001</v>
      </c>
      <c r="H889" s="307">
        <f t="shared" ca="1" si="389"/>
        <v>-100.43596977774921</v>
      </c>
      <c r="I889" s="304">
        <f t="shared" ca="1" si="390"/>
        <v>100.57714256940307</v>
      </c>
      <c r="J889" s="306">
        <f t="shared" ca="1" si="391"/>
        <v>711.72888807733182</v>
      </c>
      <c r="K889" s="307">
        <f t="shared" ca="1" si="392"/>
        <v>-12.168018759859878</v>
      </c>
      <c r="L889" s="304">
        <f t="shared" ca="1" si="377"/>
        <v>711.83289528114346</v>
      </c>
      <c r="M889" s="306">
        <f t="shared" ca="1" si="393"/>
        <v>-1.5178066019023904</v>
      </c>
      <c r="N889" s="304">
        <f t="shared" ca="1" si="394"/>
        <v>-86.963912406100079</v>
      </c>
      <c r="P889" s="310">
        <f t="shared" ca="1" si="395"/>
        <v>23</v>
      </c>
      <c r="Q889" s="304">
        <f t="shared" ca="1" si="396"/>
        <v>0</v>
      </c>
      <c r="R889" s="306">
        <f t="shared" ca="1" si="397"/>
        <v>0</v>
      </c>
      <c r="S889" s="307">
        <f t="shared" ca="1" si="398"/>
        <v>2.6792999999999987</v>
      </c>
      <c r="T889" s="304">
        <f t="shared" ca="1" si="378"/>
        <v>26.283932999999987</v>
      </c>
      <c r="U889" s="311">
        <f t="shared" ca="1" si="379"/>
        <v>0</v>
      </c>
      <c r="V889" s="306">
        <f t="shared" ca="1" si="380"/>
        <v>1.2264914897218289</v>
      </c>
      <c r="W889" s="304">
        <f t="shared" ca="1" si="381"/>
        <v>25.405982496472831</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0.31392465306548267</v>
      </c>
      <c r="AH889" s="304">
        <f t="shared" ca="1" si="405"/>
        <v>-9.4823054977610806</v>
      </c>
    </row>
    <row r="890" spans="1:34" x14ac:dyDescent="0.2">
      <c r="A890" s="347">
        <f t="shared" ca="1" si="383"/>
        <v>1E-4</v>
      </c>
      <c r="B890" s="304">
        <f t="shared" ca="1" si="384"/>
        <v>36.637200000001442</v>
      </c>
      <c r="D890" s="306">
        <f t="shared" ca="1" si="385"/>
        <v>-0.50223046456995735</v>
      </c>
      <c r="E890" s="307">
        <f t="shared" ca="1" si="386"/>
        <v>-0.34098870085755806</v>
      </c>
      <c r="F890" s="304">
        <f t="shared" ca="1" si="387"/>
        <v>0.60704920200481316</v>
      </c>
      <c r="G890" s="306">
        <f t="shared" ca="1" si="388"/>
        <v>5.3270110896358434</v>
      </c>
      <c r="H890" s="307">
        <f t="shared" ca="1" si="389"/>
        <v>-100.4360038766193</v>
      </c>
      <c r="I890" s="304">
        <f t="shared" ca="1" si="390"/>
        <v>100.57717396036433</v>
      </c>
      <c r="J890" s="306">
        <f t="shared" ca="1" si="391"/>
        <v>711.72888807733182</v>
      </c>
      <c r="K890" s="307">
        <f t="shared" ca="1" si="392"/>
        <v>-12.178062358542597</v>
      </c>
      <c r="L890" s="304">
        <f t="shared" ca="1" si="377"/>
        <v>711.83306703650942</v>
      </c>
      <c r="M890" s="306">
        <f t="shared" ca="1" si="393"/>
        <v>-1.517807118506648</v>
      </c>
      <c r="N890" s="304">
        <f t="shared" ca="1" si="394"/>
        <v>-86.963942005343711</v>
      </c>
      <c r="P890" s="310">
        <f t="shared" ca="1" si="395"/>
        <v>23</v>
      </c>
      <c r="Q890" s="304">
        <f t="shared" ca="1" si="396"/>
        <v>0</v>
      </c>
      <c r="R890" s="306">
        <f t="shared" ca="1" si="397"/>
        <v>0</v>
      </c>
      <c r="S890" s="307">
        <f t="shared" ca="1" si="398"/>
        <v>2.6792999999999987</v>
      </c>
      <c r="T890" s="304">
        <f t="shared" ca="1" si="378"/>
        <v>26.283932999999987</v>
      </c>
      <c r="U890" s="311">
        <f t="shared" ca="1" si="379"/>
        <v>0</v>
      </c>
      <c r="V890" s="306">
        <f t="shared" ca="1" si="380"/>
        <v>1.2264927215617347</v>
      </c>
      <c r="W890" s="304">
        <f t="shared" ca="1" si="381"/>
        <v>25.406023872098888</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0.31390947853023832</v>
      </c>
      <c r="AH890" s="304">
        <f t="shared" ca="1" si="405"/>
        <v>-9.4823209407206512</v>
      </c>
    </row>
    <row r="891" spans="1:34" x14ac:dyDescent="0.2">
      <c r="A891" s="347">
        <f t="shared" ca="1" si="383"/>
        <v>1E-4</v>
      </c>
      <c r="B891" s="304">
        <f t="shared" ca="1" si="384"/>
        <v>36.637300000001446</v>
      </c>
      <c r="D891" s="306">
        <f t="shared" ca="1" si="385"/>
        <v>-0.50222639075189446</v>
      </c>
      <c r="E891" s="307">
        <f t="shared" ca="1" si="386"/>
        <v>-0.34097302037981336</v>
      </c>
      <c r="F891" s="304">
        <f t="shared" ca="1" si="387"/>
        <v>0.60703702374287449</v>
      </c>
      <c r="G891" s="306">
        <f t="shared" ca="1" si="388"/>
        <v>5.3269608669967683</v>
      </c>
      <c r="H891" s="307">
        <f t="shared" ca="1" si="389"/>
        <v>-100.43603797392133</v>
      </c>
      <c r="I891" s="304">
        <f t="shared" ca="1" si="390"/>
        <v>100.57720534980818</v>
      </c>
      <c r="J891" s="306">
        <f t="shared" ca="1" si="391"/>
        <v>711.72888807733182</v>
      </c>
      <c r="K891" s="307">
        <f t="shared" ca="1" si="392"/>
        <v>-12.188105960635124</v>
      </c>
      <c r="L891" s="304">
        <f t="shared" ca="1" si="377"/>
        <v>711.83323893360227</v>
      </c>
      <c r="M891" s="306">
        <f t="shared" ca="1" si="393"/>
        <v>-1.5178076351057128</v>
      </c>
      <c r="N891" s="304">
        <f t="shared" ca="1" si="394"/>
        <v>-86.963971604289824</v>
      </c>
      <c r="P891" s="310">
        <f t="shared" ca="1" si="395"/>
        <v>23</v>
      </c>
      <c r="Q891" s="304">
        <f t="shared" ca="1" si="396"/>
        <v>0</v>
      </c>
      <c r="R891" s="306">
        <f t="shared" ca="1" si="397"/>
        <v>0</v>
      </c>
      <c r="S891" s="307">
        <f t="shared" ca="1" si="398"/>
        <v>2.6792999999999987</v>
      </c>
      <c r="T891" s="304">
        <f t="shared" ca="1" si="378"/>
        <v>26.283932999999987</v>
      </c>
      <c r="U891" s="311">
        <f t="shared" ca="1" si="379"/>
        <v>0</v>
      </c>
      <c r="V891" s="306">
        <f t="shared" ca="1" si="380"/>
        <v>1.2264939534032968</v>
      </c>
      <c r="W891" s="304">
        <f t="shared" ca="1" si="381"/>
        <v>25.406065247029449</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0.31389430424927056</v>
      </c>
      <c r="AH891" s="304">
        <f t="shared" ca="1" si="405"/>
        <v>-9.4823363834206322</v>
      </c>
    </row>
    <row r="892" spans="1:34" x14ac:dyDescent="0.2">
      <c r="A892" s="347">
        <f t="shared" ca="1" si="383"/>
        <v>1E-4</v>
      </c>
      <c r="B892" s="304">
        <f t="shared" ca="1" si="384"/>
        <v>36.637400000001449</v>
      </c>
      <c r="D892" s="306">
        <f t="shared" ca="1" si="385"/>
        <v>-0.50222231695318609</v>
      </c>
      <c r="E892" s="307">
        <f t="shared" ca="1" si="386"/>
        <v>-0.34095734016557522</v>
      </c>
      <c r="F892" s="304">
        <f t="shared" ca="1" si="387"/>
        <v>0.60702484583302707</v>
      </c>
      <c r="G892" s="306">
        <f t="shared" ca="1" si="388"/>
        <v>5.3269106447650731</v>
      </c>
      <c r="H892" s="307">
        <f t="shared" ca="1" si="389"/>
        <v>-100.43607206965535</v>
      </c>
      <c r="I892" s="304">
        <f t="shared" ca="1" si="390"/>
        <v>100.57723673773462</v>
      </c>
      <c r="J892" s="306">
        <f t="shared" ca="1" si="391"/>
        <v>711.72888807733182</v>
      </c>
      <c r="K892" s="307">
        <f t="shared" ca="1" si="392"/>
        <v>-12.198149566137303</v>
      </c>
      <c r="L892" s="304">
        <f t="shared" ca="1" si="377"/>
        <v>711.83341097242192</v>
      </c>
      <c r="M892" s="306">
        <f t="shared" ca="1" si="393"/>
        <v>-1.5178081516995847</v>
      </c>
      <c r="N892" s="304">
        <f t="shared" ca="1" si="394"/>
        <v>-86.96400120293842</v>
      </c>
      <c r="P892" s="310">
        <f t="shared" ca="1" si="395"/>
        <v>23</v>
      </c>
      <c r="Q892" s="304">
        <f t="shared" ca="1" si="396"/>
        <v>0</v>
      </c>
      <c r="R892" s="306">
        <f t="shared" ca="1" si="397"/>
        <v>0</v>
      </c>
      <c r="S892" s="307">
        <f t="shared" ca="1" si="398"/>
        <v>2.6792999999999987</v>
      </c>
      <c r="T892" s="304">
        <f t="shared" ca="1" si="378"/>
        <v>26.283932999999987</v>
      </c>
      <c r="U892" s="311">
        <f t="shared" ca="1" si="379"/>
        <v>0</v>
      </c>
      <c r="V892" s="306">
        <f t="shared" ca="1" si="380"/>
        <v>1.2264951852465154</v>
      </c>
      <c r="W892" s="304">
        <f t="shared" ca="1" si="381"/>
        <v>25.406106621264524</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0.3138791302225723</v>
      </c>
      <c r="AH892" s="304">
        <f t="shared" ca="1" si="405"/>
        <v>-9.4823518258610306</v>
      </c>
    </row>
    <row r="893" spans="1:34" x14ac:dyDescent="0.2">
      <c r="A893" s="347">
        <f t="shared" ca="1" si="383"/>
        <v>1E-4</v>
      </c>
      <c r="B893" s="304">
        <f t="shared" ca="1" si="384"/>
        <v>36.637500000001452</v>
      </c>
      <c r="D893" s="306">
        <f t="shared" ca="1" si="385"/>
        <v>-0.50221824317383545</v>
      </c>
      <c r="E893" s="307">
        <f t="shared" ca="1" si="386"/>
        <v>-0.34094166021483829</v>
      </c>
      <c r="F893" s="304">
        <f t="shared" ca="1" si="387"/>
        <v>0.60701266827527078</v>
      </c>
      <c r="G893" s="306">
        <f t="shared" ca="1" si="388"/>
        <v>5.3268604229407561</v>
      </c>
      <c r="H893" s="307">
        <f t="shared" ca="1" si="389"/>
        <v>-100.43610616382138</v>
      </c>
      <c r="I893" s="304">
        <f t="shared" ca="1" si="390"/>
        <v>100.57726812414369</v>
      </c>
      <c r="J893" s="306">
        <f t="shared" ca="1" si="391"/>
        <v>711.72888807733182</v>
      </c>
      <c r="K893" s="307">
        <f t="shared" ca="1" si="392"/>
        <v>-12.208193175048978</v>
      </c>
      <c r="L893" s="304">
        <f t="shared" ca="1" si="377"/>
        <v>711.83358315296869</v>
      </c>
      <c r="M893" s="306">
        <f t="shared" ca="1" si="393"/>
        <v>-1.5178086682882637</v>
      </c>
      <c r="N893" s="304">
        <f t="shared" ca="1" si="394"/>
        <v>-86.964030801289454</v>
      </c>
      <c r="P893" s="310">
        <f t="shared" ca="1" si="395"/>
        <v>23</v>
      </c>
      <c r="Q893" s="304">
        <f t="shared" ca="1" si="396"/>
        <v>0</v>
      </c>
      <c r="R893" s="306">
        <f t="shared" ca="1" si="397"/>
        <v>0</v>
      </c>
      <c r="S893" s="307">
        <f t="shared" ca="1" si="398"/>
        <v>2.6792999999999987</v>
      </c>
      <c r="T893" s="304">
        <f t="shared" ca="1" si="378"/>
        <v>26.283932999999987</v>
      </c>
      <c r="U893" s="311">
        <f t="shared" ca="1" si="379"/>
        <v>0</v>
      </c>
      <c r="V893" s="306">
        <f t="shared" ca="1" si="380"/>
        <v>1.2264964170913895</v>
      </c>
      <c r="W893" s="304">
        <f t="shared" ca="1" si="381"/>
        <v>25.406147994804105</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0.3138639564501382</v>
      </c>
      <c r="AH893" s="304">
        <f t="shared" ca="1" si="405"/>
        <v>-9.4823672680418536</v>
      </c>
    </row>
    <row r="894" spans="1:34" x14ac:dyDescent="0.2">
      <c r="A894" s="347">
        <f t="shared" ca="1" si="383"/>
        <v>1E-4</v>
      </c>
      <c r="B894" s="304">
        <f t="shared" ca="1" si="384"/>
        <v>36.637600000001456</v>
      </c>
      <c r="D894" s="306">
        <f t="shared" ca="1" si="385"/>
        <v>-0.50221416941384267</v>
      </c>
      <c r="E894" s="307">
        <f t="shared" ca="1" si="386"/>
        <v>-0.3409259805276097</v>
      </c>
      <c r="F894" s="304">
        <f t="shared" ca="1" si="387"/>
        <v>0.60700049106961018</v>
      </c>
      <c r="G894" s="306">
        <f t="shared" ca="1" si="388"/>
        <v>5.3268102015238146</v>
      </c>
      <c r="H894" s="307">
        <f t="shared" ca="1" si="389"/>
        <v>-100.43614025641943</v>
      </c>
      <c r="I894" s="304">
        <f t="shared" ca="1" si="390"/>
        <v>100.57729950903541</v>
      </c>
      <c r="J894" s="306">
        <f t="shared" ca="1" si="391"/>
        <v>711.72888807733182</v>
      </c>
      <c r="K894" s="307">
        <f t="shared" ca="1" si="392"/>
        <v>-12.218236787369989</v>
      </c>
      <c r="L894" s="304">
        <f t="shared" ca="1" si="377"/>
        <v>711.83375547524258</v>
      </c>
      <c r="M894" s="306">
        <f t="shared" ca="1" si="393"/>
        <v>-1.5178091848717501</v>
      </c>
      <c r="N894" s="304">
        <f t="shared" ca="1" si="394"/>
        <v>-86.964060399342998</v>
      </c>
      <c r="P894" s="310">
        <f t="shared" ca="1" si="395"/>
        <v>23</v>
      </c>
      <c r="Q894" s="304">
        <f t="shared" ca="1" si="396"/>
        <v>0</v>
      </c>
      <c r="R894" s="306">
        <f t="shared" ca="1" si="397"/>
        <v>0</v>
      </c>
      <c r="S894" s="307">
        <f t="shared" ca="1" si="398"/>
        <v>2.6792999999999987</v>
      </c>
      <c r="T894" s="304">
        <f t="shared" ca="1" si="378"/>
        <v>26.283932999999987</v>
      </c>
      <c r="U894" s="311">
        <f t="shared" ca="1" si="379"/>
        <v>0</v>
      </c>
      <c r="V894" s="306">
        <f t="shared" ca="1" si="380"/>
        <v>1.2264976489379202</v>
      </c>
      <c r="W894" s="304">
        <f t="shared" ca="1" si="381"/>
        <v>25.406189367648235</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0.31384878293197538</v>
      </c>
      <c r="AH894" s="304">
        <f t="shared" ca="1" si="405"/>
        <v>-9.482382709963094</v>
      </c>
    </row>
    <row r="895" spans="1:34" x14ac:dyDescent="0.2">
      <c r="A895" s="347">
        <f t="shared" ca="1" si="383"/>
        <v>1E-4</v>
      </c>
      <c r="B895" s="304">
        <f t="shared" ca="1" si="384"/>
        <v>36.637700000001459</v>
      </c>
      <c r="D895" s="306">
        <f t="shared" ca="1" si="385"/>
        <v>-0.5022100956732054</v>
      </c>
      <c r="E895" s="307">
        <f t="shared" ca="1" si="386"/>
        <v>-0.34091030110387166</v>
      </c>
      <c r="F895" s="304">
        <f t="shared" ca="1" si="387"/>
        <v>0.60698831421603383</v>
      </c>
      <c r="G895" s="306">
        <f t="shared" ca="1" si="388"/>
        <v>5.3267599805142476</v>
      </c>
      <c r="H895" s="307">
        <f t="shared" ca="1" si="389"/>
        <v>-100.43617434744955</v>
      </c>
      <c r="I895" s="304">
        <f t="shared" ca="1" si="390"/>
        <v>100.5773308924098</v>
      </c>
      <c r="J895" s="306">
        <f t="shared" ca="1" si="391"/>
        <v>711.72888807733182</v>
      </c>
      <c r="K895" s="307">
        <f t="shared" ca="1" si="392"/>
        <v>-12.228280403100182</v>
      </c>
      <c r="L895" s="304">
        <f t="shared" ca="1" si="377"/>
        <v>711.83392793924338</v>
      </c>
      <c r="M895" s="306">
        <f t="shared" ca="1" si="393"/>
        <v>-1.5178097014500436</v>
      </c>
      <c r="N895" s="304">
        <f t="shared" ca="1" si="394"/>
        <v>-86.964089997099009</v>
      </c>
      <c r="P895" s="310">
        <f t="shared" ca="1" si="395"/>
        <v>23</v>
      </c>
      <c r="Q895" s="304">
        <f t="shared" ca="1" si="396"/>
        <v>0</v>
      </c>
      <c r="R895" s="306">
        <f t="shared" ca="1" si="397"/>
        <v>0</v>
      </c>
      <c r="S895" s="307">
        <f t="shared" ca="1" si="398"/>
        <v>2.6792999999999987</v>
      </c>
      <c r="T895" s="304">
        <f t="shared" ca="1" si="378"/>
        <v>26.283932999999987</v>
      </c>
      <c r="U895" s="311">
        <f t="shared" ca="1" si="379"/>
        <v>0</v>
      </c>
      <c r="V895" s="306">
        <f t="shared" ca="1" si="380"/>
        <v>1.2264988807861072</v>
      </c>
      <c r="W895" s="304">
        <f t="shared" ca="1" si="381"/>
        <v>25.406230739796893</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0.31383360966806073</v>
      </c>
      <c r="AH895" s="304">
        <f t="shared" ca="1" si="405"/>
        <v>-9.4823981516247713</v>
      </c>
    </row>
    <row r="896" spans="1:34" x14ac:dyDescent="0.2">
      <c r="A896" s="347">
        <f t="shared" ca="1" si="383"/>
        <v>1E-4</v>
      </c>
      <c r="B896" s="304">
        <f t="shared" ca="1" si="384"/>
        <v>36.637800000001462</v>
      </c>
      <c r="D896" s="306">
        <f t="shared" ca="1" si="385"/>
        <v>-0.50220602195192776</v>
      </c>
      <c r="E896" s="307">
        <f t="shared" ca="1" si="386"/>
        <v>-0.34089462194363129</v>
      </c>
      <c r="F896" s="304">
        <f t="shared" ca="1" si="387"/>
        <v>0.60697613771454917</v>
      </c>
      <c r="G896" s="306">
        <f t="shared" ca="1" si="388"/>
        <v>5.3267097599120525</v>
      </c>
      <c r="H896" s="307">
        <f t="shared" ca="1" si="389"/>
        <v>-100.43620843691174</v>
      </c>
      <c r="I896" s="304">
        <f t="shared" ca="1" si="390"/>
        <v>100.57736227426687</v>
      </c>
      <c r="J896" s="306">
        <f t="shared" ca="1" si="391"/>
        <v>711.72888807733182</v>
      </c>
      <c r="K896" s="307">
        <f t="shared" ca="1" si="392"/>
        <v>-12.2383240222394</v>
      </c>
      <c r="L896" s="304">
        <f t="shared" ca="1" si="377"/>
        <v>711.83410054497142</v>
      </c>
      <c r="M896" s="306">
        <f t="shared" ca="1" si="393"/>
        <v>-1.5178102180231445</v>
      </c>
      <c r="N896" s="304">
        <f t="shared" ca="1" si="394"/>
        <v>-86.964119594557502</v>
      </c>
      <c r="P896" s="310">
        <f t="shared" ca="1" si="395"/>
        <v>23</v>
      </c>
      <c r="Q896" s="304">
        <f t="shared" ca="1" si="396"/>
        <v>0</v>
      </c>
      <c r="R896" s="306">
        <f t="shared" ca="1" si="397"/>
        <v>0</v>
      </c>
      <c r="S896" s="307">
        <f t="shared" ca="1" si="398"/>
        <v>2.6792999999999987</v>
      </c>
      <c r="T896" s="304">
        <f t="shared" ca="1" si="378"/>
        <v>26.283932999999987</v>
      </c>
      <c r="U896" s="311">
        <f t="shared" ca="1" si="379"/>
        <v>0</v>
      </c>
      <c r="V896" s="306">
        <f t="shared" ca="1" si="380"/>
        <v>1.22650011263595</v>
      </c>
      <c r="W896" s="304">
        <f t="shared" ca="1" si="381"/>
        <v>25.40627211125009</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0.31381843665840847</v>
      </c>
      <c r="AH896" s="304">
        <f t="shared" ca="1" si="405"/>
        <v>-9.4824135930268749</v>
      </c>
    </row>
    <row r="897" spans="1:34" x14ac:dyDescent="0.2">
      <c r="A897" s="347">
        <f t="shared" ca="1" si="383"/>
        <v>1E-4</v>
      </c>
      <c r="B897" s="304">
        <f t="shared" ca="1" si="384"/>
        <v>36.637900000001466</v>
      </c>
      <c r="D897" s="306">
        <f t="shared" ca="1" si="385"/>
        <v>-0.50220194825000675</v>
      </c>
      <c r="E897" s="307">
        <f t="shared" ca="1" si="386"/>
        <v>-0.34087894304688326</v>
      </c>
      <c r="F897" s="304">
        <f t="shared" ca="1" si="387"/>
        <v>0.60696396156515153</v>
      </c>
      <c r="G897" s="306">
        <f t="shared" ca="1" si="388"/>
        <v>5.3266595397172276</v>
      </c>
      <c r="H897" s="307">
        <f t="shared" ca="1" si="389"/>
        <v>-100.43624252480605</v>
      </c>
      <c r="I897" s="304">
        <f t="shared" ca="1" si="390"/>
        <v>100.57739365460669</v>
      </c>
      <c r="J897" s="306">
        <f t="shared" ca="1" si="391"/>
        <v>711.72888807733182</v>
      </c>
      <c r="K897" s="307">
        <f t="shared" ca="1" si="392"/>
        <v>-12.248367644787486</v>
      </c>
      <c r="L897" s="304">
        <f t="shared" ca="1" si="377"/>
        <v>711.83427329242659</v>
      </c>
      <c r="M897" s="306">
        <f t="shared" ca="1" si="393"/>
        <v>-1.5178107345910528</v>
      </c>
      <c r="N897" s="304">
        <f t="shared" ca="1" si="394"/>
        <v>-86.964149191718477</v>
      </c>
      <c r="P897" s="310">
        <f t="shared" ca="1" si="395"/>
        <v>23</v>
      </c>
      <c r="Q897" s="304">
        <f t="shared" ca="1" si="396"/>
        <v>0</v>
      </c>
      <c r="R897" s="306">
        <f t="shared" ca="1" si="397"/>
        <v>0</v>
      </c>
      <c r="S897" s="307">
        <f t="shared" ca="1" si="398"/>
        <v>2.6792999999999987</v>
      </c>
      <c r="T897" s="304">
        <f t="shared" ca="1" si="378"/>
        <v>26.283932999999987</v>
      </c>
      <c r="U897" s="311">
        <f t="shared" ca="1" si="379"/>
        <v>0</v>
      </c>
      <c r="V897" s="306">
        <f t="shared" ca="1" si="380"/>
        <v>1.2265013444874489</v>
      </c>
      <c r="W897" s="304">
        <f t="shared" ca="1" si="381"/>
        <v>25.40631348200786</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0.31380326390301327</v>
      </c>
      <c r="AH897" s="304">
        <f t="shared" ca="1" si="405"/>
        <v>-9.4824290341694102</v>
      </c>
    </row>
    <row r="898" spans="1:34" x14ac:dyDescent="0.2">
      <c r="A898" s="347">
        <f t="shared" ca="1" si="383"/>
        <v>1E-4</v>
      </c>
      <c r="B898" s="304">
        <f t="shared" ca="1" si="384"/>
        <v>36.638000000001469</v>
      </c>
      <c r="D898" s="306">
        <f t="shared" ca="1" si="385"/>
        <v>-0.50219787456744558</v>
      </c>
      <c r="E898" s="307">
        <f t="shared" ca="1" si="386"/>
        <v>-0.34086326441361692</v>
      </c>
      <c r="F898" s="304">
        <f t="shared" ca="1" si="387"/>
        <v>0.6069517857678377</v>
      </c>
      <c r="G898" s="306">
        <f t="shared" ca="1" si="388"/>
        <v>5.326609319929771</v>
      </c>
      <c r="H898" s="307">
        <f t="shared" ca="1" si="389"/>
        <v>-100.43627661113248</v>
      </c>
      <c r="I898" s="304">
        <f t="shared" ca="1" si="390"/>
        <v>100.57742503342924</v>
      </c>
      <c r="J898" s="306">
        <f t="shared" ca="1" si="391"/>
        <v>711.72888807733182</v>
      </c>
      <c r="K898" s="307">
        <f t="shared" ca="1" si="392"/>
        <v>-12.258411270744283</v>
      </c>
      <c r="L898" s="304">
        <f t="shared" ca="1" si="377"/>
        <v>711.83444618160888</v>
      </c>
      <c r="M898" s="306">
        <f t="shared" ca="1" si="393"/>
        <v>-1.5178112511537685</v>
      </c>
      <c r="N898" s="304">
        <f t="shared" ca="1" si="394"/>
        <v>-86.964178788581933</v>
      </c>
      <c r="P898" s="310">
        <f t="shared" ca="1" si="395"/>
        <v>23</v>
      </c>
      <c r="Q898" s="304">
        <f t="shared" ca="1" si="396"/>
        <v>0</v>
      </c>
      <c r="R898" s="306">
        <f t="shared" ca="1" si="397"/>
        <v>0</v>
      </c>
      <c r="S898" s="307">
        <f t="shared" ca="1" si="398"/>
        <v>2.6792999999999987</v>
      </c>
      <c r="T898" s="304">
        <f t="shared" ca="1" si="378"/>
        <v>26.283932999999987</v>
      </c>
      <c r="U898" s="311">
        <f t="shared" ca="1" si="379"/>
        <v>0</v>
      </c>
      <c r="V898" s="306">
        <f t="shared" ca="1" si="380"/>
        <v>1.2265025763406039</v>
      </c>
      <c r="W898" s="304">
        <f t="shared" ca="1" si="381"/>
        <v>25.406354852070173</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0.31378809140186092</v>
      </c>
      <c r="AH898" s="304">
        <f t="shared" ca="1" si="405"/>
        <v>-9.4824444750523913</v>
      </c>
    </row>
    <row r="899" spans="1:34" x14ac:dyDescent="0.2">
      <c r="A899" s="347">
        <f t="shared" ca="1" si="383"/>
        <v>1E-4</v>
      </c>
      <c r="B899" s="304">
        <f t="shared" ca="1" si="384"/>
        <v>36.638100000001472</v>
      </c>
      <c r="D899" s="306">
        <f t="shared" ca="1" si="385"/>
        <v>-0.50219380090424226</v>
      </c>
      <c r="E899" s="307">
        <f t="shared" ca="1" si="386"/>
        <v>-0.34084758604384113</v>
      </c>
      <c r="F899" s="304">
        <f t="shared" ca="1" si="387"/>
        <v>0.60693961032261146</v>
      </c>
      <c r="G899" s="306">
        <f t="shared" ca="1" si="388"/>
        <v>5.3265591005496802</v>
      </c>
      <c r="H899" s="307">
        <f t="shared" ca="1" si="389"/>
        <v>-100.43631069589109</v>
      </c>
      <c r="I899" s="304">
        <f t="shared" ca="1" si="390"/>
        <v>100.57745641073458</v>
      </c>
      <c r="J899" s="306">
        <f t="shared" ca="1" si="391"/>
        <v>711.72888807733182</v>
      </c>
      <c r="K899" s="307">
        <f t="shared" ca="1" si="392"/>
        <v>-12.268454900109633</v>
      </c>
      <c r="L899" s="304">
        <f t="shared" ca="1" si="377"/>
        <v>711.83461921251853</v>
      </c>
      <c r="M899" s="306">
        <f t="shared" ca="1" si="393"/>
        <v>-1.5178117677112919</v>
      </c>
      <c r="N899" s="304">
        <f t="shared" ca="1" si="394"/>
        <v>-86.964208385147899</v>
      </c>
      <c r="P899" s="310">
        <f t="shared" ca="1" si="395"/>
        <v>23</v>
      </c>
      <c r="Q899" s="304">
        <f t="shared" ca="1" si="396"/>
        <v>0</v>
      </c>
      <c r="R899" s="306">
        <f t="shared" ca="1" si="397"/>
        <v>0</v>
      </c>
      <c r="S899" s="307">
        <f t="shared" ca="1" si="398"/>
        <v>2.6792999999999987</v>
      </c>
      <c r="T899" s="304">
        <f t="shared" ca="1" si="378"/>
        <v>26.283932999999987</v>
      </c>
      <c r="U899" s="311">
        <f t="shared" ca="1" si="379"/>
        <v>0</v>
      </c>
      <c r="V899" s="306">
        <f t="shared" ca="1" si="380"/>
        <v>1.2265038081954147</v>
      </c>
      <c r="W899" s="304">
        <f t="shared" ca="1" si="381"/>
        <v>25.406396221437085</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0.31377291915496208</v>
      </c>
      <c r="AH899" s="304">
        <f t="shared" ca="1" si="405"/>
        <v>-9.4824599156758058</v>
      </c>
    </row>
    <row r="900" spans="1:34" x14ac:dyDescent="0.2">
      <c r="A900" s="347">
        <f t="shared" ca="1" si="383"/>
        <v>1E-4</v>
      </c>
      <c r="B900" s="304">
        <f t="shared" ca="1" si="384"/>
        <v>36.638200000001476</v>
      </c>
      <c r="D900" s="306">
        <f t="shared" ca="1" si="385"/>
        <v>-0.50218972726039623</v>
      </c>
      <c r="E900" s="307">
        <f t="shared" ca="1" si="386"/>
        <v>-0.34083190793753815</v>
      </c>
      <c r="F900" s="304">
        <f t="shared" ca="1" si="387"/>
        <v>0.6069274352294628</v>
      </c>
      <c r="G900" s="306">
        <f t="shared" ca="1" si="388"/>
        <v>5.3265088815769541</v>
      </c>
      <c r="H900" s="307">
        <f t="shared" ca="1" si="389"/>
        <v>-100.43634477908189</v>
      </c>
      <c r="I900" s="304">
        <f t="shared" ca="1" si="390"/>
        <v>100.57748778652274</v>
      </c>
      <c r="J900" s="306">
        <f t="shared" ca="1" si="391"/>
        <v>711.72888807733182</v>
      </c>
      <c r="K900" s="307">
        <f t="shared" ca="1" si="392"/>
        <v>-12.278498532883383</v>
      </c>
      <c r="L900" s="304">
        <f t="shared" ref="L900:L963" ca="1" si="406">SQRT(pos_x^2+pos_z^2)</f>
        <v>711.83479238515531</v>
      </c>
      <c r="M900" s="306">
        <f t="shared" ca="1" si="393"/>
        <v>-1.5178122842636228</v>
      </c>
      <c r="N900" s="304">
        <f t="shared" ca="1" si="394"/>
        <v>-86.96423798141636</v>
      </c>
      <c r="P900" s="310">
        <f t="shared" ca="1" si="395"/>
        <v>23</v>
      </c>
      <c r="Q900" s="304">
        <f t="shared" ca="1" si="396"/>
        <v>0</v>
      </c>
      <c r="R900" s="306">
        <f t="shared" ca="1" si="397"/>
        <v>0</v>
      </c>
      <c r="S900" s="307">
        <f t="shared" ca="1" si="398"/>
        <v>2.6792999999999987</v>
      </c>
      <c r="T900" s="304">
        <f t="shared" ref="T900:T963" ca="1" si="407">m*g</f>
        <v>26.283932999999987</v>
      </c>
      <c r="U900" s="311">
        <f t="shared" ref="U900:U963" ca="1" si="408">IF(pos_xz&lt;L_rampe,Poids*COS(Beta),0)</f>
        <v>0</v>
      </c>
      <c r="V900" s="306">
        <f t="shared" ref="V900:V963" ca="1" si="409">Rho_moyen*(20000-Alt_rampe-pos_z)/(20000+Alt_rampe+pos_z)</f>
        <v>1.2265050400518818</v>
      </c>
      <c r="W900" s="304">
        <f t="shared" ref="W900:W963" ca="1" si="410">1/2*Rho*Sref*Cx*vit_xz^2</f>
        <v>25.406437590108577</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0.31375774716230076</v>
      </c>
      <c r="AH900" s="304">
        <f t="shared" ca="1" si="405"/>
        <v>-9.4824753560396733</v>
      </c>
    </row>
    <row r="901" spans="1:34" x14ac:dyDescent="0.2">
      <c r="A901" s="347">
        <f t="shared" ref="A901:A964" ca="1" si="412">IF(B900+0.01&lt;=T_ini+ROUNDUP(Temps_fin_propu,0), 0.01, IF(K900&gt;0, 0.1, 0.0001))</f>
        <v>1E-4</v>
      </c>
      <c r="B901" s="304">
        <f t="shared" ref="B901:B964" ca="1" si="413">B900+pas</f>
        <v>36.638300000001479</v>
      </c>
      <c r="D901" s="306">
        <f t="shared" ref="D901:D964" ca="1" si="414">IF(AND(L900&lt;L_rampe,Poussee&lt;Poids*SIN(M900)),0,(-W900+Poussee)/m*COS(M900)-U900/m*SIN(M900))</f>
        <v>-0.50218565363591017</v>
      </c>
      <c r="E901" s="307">
        <f t="shared" ref="E901:E964" ca="1" si="415">IF(AND(L900&lt;L_rampe,Poussee&lt;Poids*SIN(M900)),0,(-W900+Poussee)/m*SIN(M900)+U900/m*COS(M900)-Poids/m)</f>
        <v>-0.34081623009471329</v>
      </c>
      <c r="F901" s="304">
        <f t="shared" ref="F901:F964" ca="1" si="416">SQRT(acc_x^2+acc_z^2)</f>
        <v>0.60691526048839717</v>
      </c>
      <c r="G901" s="306">
        <f t="shared" ref="G901:G964" ca="1" si="417">G900+acc_x*pas</f>
        <v>5.3264586630115902</v>
      </c>
      <c r="H901" s="307">
        <f t="shared" ref="H901:H964" ca="1" si="418">H900+acc_z*pas</f>
        <v>-100.43637886070491</v>
      </c>
      <c r="I901" s="304">
        <f t="shared" ref="I901:I964" ca="1" si="419">SQRT(vit_x^2+vit_z^2)</f>
        <v>100.5775191607937</v>
      </c>
      <c r="J901" s="306">
        <f t="shared" ref="J901:J964" ca="1" si="420">J900+0.5*(vit_x+G900)*pas*(K900&gt;=0)</f>
        <v>711.72888807733182</v>
      </c>
      <c r="K901" s="307">
        <f t="shared" ref="K901:K964" ca="1" si="421">K900+0.5*(vit_z+H900)*pas</f>
        <v>-12.288542169065373</v>
      </c>
      <c r="L901" s="304">
        <f t="shared" ca="1" si="406"/>
        <v>711.83496569951944</v>
      </c>
      <c r="M901" s="306">
        <f t="shared" ref="M901:M964" ca="1" si="422">IF(AND(L900&gt;L_rampe,G901&gt;0),ATAN2(G901,H901),$M$4)</f>
        <v>-1.5178128008107614</v>
      </c>
      <c r="N901" s="304">
        <f t="shared" ref="N901:N964" ca="1" si="423">DEGREES(Beta)</f>
        <v>-86.964267577387318</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2.6792999999999987</v>
      </c>
      <c r="T901" s="304">
        <f t="shared" ca="1" si="407"/>
        <v>26.283932999999987</v>
      </c>
      <c r="U901" s="311">
        <f t="shared" ca="1" si="408"/>
        <v>0</v>
      </c>
      <c r="V901" s="306">
        <f t="shared" ca="1" si="409"/>
        <v>1.2265062719100048</v>
      </c>
      <c r="W901" s="304">
        <f t="shared" ca="1" si="410"/>
        <v>25.406478958084666</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0.31374257542387696</v>
      </c>
      <c r="AH901" s="304">
        <f t="shared" ref="AH901:AH964" ca="1" si="434">IF(AND(L900&lt;L_rampe,Poussee&lt;Poids*SIN(M900)), g*SIN(M900), (-W900+Poussee)/m)</f>
        <v>-9.4824907961439884</v>
      </c>
    </row>
    <row r="902" spans="1:34" x14ac:dyDescent="0.2">
      <c r="A902" s="347">
        <f t="shared" ca="1" si="412"/>
        <v>1E-4</v>
      </c>
      <c r="B902" s="304">
        <f t="shared" ca="1" si="413"/>
        <v>36.638400000001482</v>
      </c>
      <c r="D902" s="306">
        <f t="shared" ca="1" si="414"/>
        <v>-0.50218158003078284</v>
      </c>
      <c r="E902" s="307">
        <f t="shared" ca="1" si="415"/>
        <v>-0.34080055251535768</v>
      </c>
      <c r="F902" s="304">
        <f t="shared" ca="1" si="416"/>
        <v>0.60690308609940902</v>
      </c>
      <c r="G902" s="306">
        <f t="shared" ca="1" si="417"/>
        <v>5.3264084448535876</v>
      </c>
      <c r="H902" s="307">
        <f t="shared" ca="1" si="418"/>
        <v>-100.43641294076016</v>
      </c>
      <c r="I902" s="304">
        <f t="shared" ca="1" si="419"/>
        <v>100.57755053354751</v>
      </c>
      <c r="J902" s="306">
        <f t="shared" ca="1" si="420"/>
        <v>711.72888807733182</v>
      </c>
      <c r="K902" s="307">
        <f t="shared" ca="1" si="421"/>
        <v>-12.298585808655446</v>
      </c>
      <c r="L902" s="304">
        <f t="shared" ca="1" si="406"/>
        <v>711.83513915561093</v>
      </c>
      <c r="M902" s="306">
        <f t="shared" ca="1" si="422"/>
        <v>-1.5178133173527077</v>
      </c>
      <c r="N902" s="304">
        <f t="shared" ca="1" si="423"/>
        <v>-86.964297173060785</v>
      </c>
      <c r="P902" s="310">
        <f t="shared" ca="1" si="424"/>
        <v>23</v>
      </c>
      <c r="Q902" s="304">
        <f t="shared" ca="1" si="425"/>
        <v>0</v>
      </c>
      <c r="R902" s="306">
        <f t="shared" ca="1" si="426"/>
        <v>0</v>
      </c>
      <c r="S902" s="307">
        <f t="shared" ca="1" si="427"/>
        <v>2.6792999999999987</v>
      </c>
      <c r="T902" s="304">
        <f t="shared" ca="1" si="407"/>
        <v>26.283932999999987</v>
      </c>
      <c r="U902" s="311">
        <f t="shared" ca="1" si="408"/>
        <v>0</v>
      </c>
      <c r="V902" s="306">
        <f t="shared" ca="1" si="409"/>
        <v>1.2265075037697837</v>
      </c>
      <c r="W902" s="304">
        <f t="shared" ca="1" si="410"/>
        <v>25.406520325365349</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0.31372740393968712</v>
      </c>
      <c r="AH902" s="304">
        <f t="shared" ca="1" si="434"/>
        <v>-9.4825062359887582</v>
      </c>
    </row>
    <row r="903" spans="1:34" x14ac:dyDescent="0.2">
      <c r="A903" s="347">
        <f t="shared" ca="1" si="412"/>
        <v>1E-4</v>
      </c>
      <c r="B903" s="304">
        <f t="shared" ca="1" si="413"/>
        <v>36.638500000001486</v>
      </c>
      <c r="D903" s="306">
        <f t="shared" ca="1" si="414"/>
        <v>-0.5021775064450148</v>
      </c>
      <c r="E903" s="307">
        <f t="shared" ca="1" si="415"/>
        <v>-0.34078487519947487</v>
      </c>
      <c r="F903" s="304">
        <f t="shared" ca="1" si="416"/>
        <v>0.60689091206250112</v>
      </c>
      <c r="G903" s="306">
        <f t="shared" ca="1" si="417"/>
        <v>5.3263582271029435</v>
      </c>
      <c r="H903" s="307">
        <f t="shared" ca="1" si="418"/>
        <v>-100.43644701924768</v>
      </c>
      <c r="I903" s="304">
        <f t="shared" ca="1" si="419"/>
        <v>100.5775819047842</v>
      </c>
      <c r="J903" s="306">
        <f t="shared" ca="1" si="420"/>
        <v>711.72888807733182</v>
      </c>
      <c r="K903" s="307">
        <f t="shared" ca="1" si="421"/>
        <v>-12.308629451653447</v>
      </c>
      <c r="L903" s="304">
        <f t="shared" ca="1" si="406"/>
        <v>711.83531275342978</v>
      </c>
      <c r="M903" s="306">
        <f t="shared" ca="1" si="422"/>
        <v>-1.5178138338894618</v>
      </c>
      <c r="N903" s="304">
        <f t="shared" ca="1" si="423"/>
        <v>-86.964326768436763</v>
      </c>
      <c r="P903" s="310">
        <f t="shared" ca="1" si="424"/>
        <v>23</v>
      </c>
      <c r="Q903" s="304">
        <f t="shared" ca="1" si="425"/>
        <v>0</v>
      </c>
      <c r="R903" s="306">
        <f t="shared" ca="1" si="426"/>
        <v>0</v>
      </c>
      <c r="S903" s="307">
        <f t="shared" ca="1" si="427"/>
        <v>2.6792999999999987</v>
      </c>
      <c r="T903" s="304">
        <f t="shared" ca="1" si="407"/>
        <v>26.283932999999987</v>
      </c>
      <c r="U903" s="311">
        <f t="shared" ca="1" si="408"/>
        <v>0</v>
      </c>
      <c r="V903" s="306">
        <f t="shared" ca="1" si="409"/>
        <v>1.226508735631219</v>
      </c>
      <c r="W903" s="304">
        <f t="shared" ca="1" si="410"/>
        <v>25.40656169195066</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0.31371223270973836</v>
      </c>
      <c r="AH903" s="304">
        <f t="shared" ca="1" si="434"/>
        <v>-9.4825216755739792</v>
      </c>
    </row>
    <row r="904" spans="1:34" x14ac:dyDescent="0.2">
      <c r="A904" s="347">
        <f t="shared" ca="1" si="412"/>
        <v>1E-4</v>
      </c>
      <c r="B904" s="304">
        <f t="shared" ca="1" si="413"/>
        <v>36.638600000001489</v>
      </c>
      <c r="D904" s="306">
        <f t="shared" ca="1" si="414"/>
        <v>-0.5021734328786075</v>
      </c>
      <c r="E904" s="307">
        <f t="shared" ca="1" si="415"/>
        <v>-0.3407691981470542</v>
      </c>
      <c r="F904" s="304">
        <f t="shared" ca="1" si="416"/>
        <v>0.60687873837766926</v>
      </c>
      <c r="G904" s="306">
        <f t="shared" ca="1" si="417"/>
        <v>5.3263080097596553</v>
      </c>
      <c r="H904" s="307">
        <f t="shared" ca="1" si="418"/>
        <v>-100.4364810961675</v>
      </c>
      <c r="I904" s="304">
        <f t="shared" ca="1" si="419"/>
        <v>100.57761327450379</v>
      </c>
      <c r="J904" s="306">
        <f t="shared" ca="1" si="420"/>
        <v>711.72888807733182</v>
      </c>
      <c r="K904" s="307">
        <f t="shared" ca="1" si="421"/>
        <v>-12.318673098059218</v>
      </c>
      <c r="L904" s="304">
        <f t="shared" ca="1" si="406"/>
        <v>711.83548649297609</v>
      </c>
      <c r="M904" s="306">
        <f t="shared" ca="1" si="422"/>
        <v>-1.5178143504210235</v>
      </c>
      <c r="N904" s="304">
        <f t="shared" ca="1" si="423"/>
        <v>-86.964356363515236</v>
      </c>
      <c r="P904" s="310">
        <f t="shared" ca="1" si="424"/>
        <v>23</v>
      </c>
      <c r="Q904" s="304">
        <f t="shared" ca="1" si="425"/>
        <v>0</v>
      </c>
      <c r="R904" s="306">
        <f t="shared" ca="1" si="426"/>
        <v>0</v>
      </c>
      <c r="S904" s="307">
        <f t="shared" ca="1" si="427"/>
        <v>2.6792999999999987</v>
      </c>
      <c r="T904" s="304">
        <f t="shared" ca="1" si="407"/>
        <v>26.283932999999987</v>
      </c>
      <c r="U904" s="311">
        <f t="shared" ca="1" si="408"/>
        <v>0</v>
      </c>
      <c r="V904" s="306">
        <f t="shared" ca="1" si="409"/>
        <v>1.2265099674943101</v>
      </c>
      <c r="W904" s="304">
        <f t="shared" ca="1" si="410"/>
        <v>25.406603057840581</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0.31369706173400935</v>
      </c>
      <c r="AH904" s="304">
        <f t="shared" ca="1" si="434"/>
        <v>-9.4825371148996656</v>
      </c>
    </row>
    <row r="905" spans="1:34" x14ac:dyDescent="0.2">
      <c r="A905" s="347">
        <f t="shared" ca="1" si="412"/>
        <v>1E-4</v>
      </c>
      <c r="B905" s="304">
        <f t="shared" ca="1" si="413"/>
        <v>36.638700000001492</v>
      </c>
      <c r="D905" s="306">
        <f t="shared" ca="1" si="414"/>
        <v>-0.50216935933156104</v>
      </c>
      <c r="E905" s="307">
        <f t="shared" ca="1" si="415"/>
        <v>-0.34075352135809922</v>
      </c>
      <c r="F905" s="304">
        <f t="shared" ca="1" si="416"/>
        <v>0.60686656504491587</v>
      </c>
      <c r="G905" s="306">
        <f t="shared" ca="1" si="417"/>
        <v>5.3262577928237222</v>
      </c>
      <c r="H905" s="307">
        <f t="shared" ca="1" si="418"/>
        <v>-100.43651517151963</v>
      </c>
      <c r="I905" s="304">
        <f t="shared" ca="1" si="419"/>
        <v>100.5776446427063</v>
      </c>
      <c r="J905" s="306">
        <f t="shared" ca="1" si="420"/>
        <v>711.72888807733182</v>
      </c>
      <c r="K905" s="307">
        <f t="shared" ca="1" si="421"/>
        <v>-12.328716747872603</v>
      </c>
      <c r="L905" s="304">
        <f t="shared" ca="1" si="406"/>
        <v>711.83566037424987</v>
      </c>
      <c r="M905" s="306">
        <f t="shared" ca="1" si="422"/>
        <v>-1.5178148669473934</v>
      </c>
      <c r="N905" s="304">
        <f t="shared" ca="1" si="423"/>
        <v>-86.964385958296234</v>
      </c>
      <c r="P905" s="310">
        <f t="shared" ca="1" si="424"/>
        <v>23</v>
      </c>
      <c r="Q905" s="304">
        <f t="shared" ca="1" si="425"/>
        <v>0</v>
      </c>
      <c r="R905" s="306">
        <f t="shared" ca="1" si="426"/>
        <v>0</v>
      </c>
      <c r="S905" s="307">
        <f t="shared" ca="1" si="427"/>
        <v>2.6792999999999987</v>
      </c>
      <c r="T905" s="304">
        <f t="shared" ca="1" si="407"/>
        <v>26.283932999999987</v>
      </c>
      <c r="U905" s="311">
        <f t="shared" ca="1" si="408"/>
        <v>0</v>
      </c>
      <c r="V905" s="306">
        <f t="shared" ca="1" si="409"/>
        <v>1.2265111993590569</v>
      </c>
      <c r="W905" s="304">
        <f t="shared" ca="1" si="410"/>
        <v>25.406644423035139</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0.31368189101251254</v>
      </c>
      <c r="AH905" s="304">
        <f t="shared" ca="1" si="434"/>
        <v>-9.4825525539658102</v>
      </c>
    </row>
    <row r="906" spans="1:34" x14ac:dyDescent="0.2">
      <c r="A906" s="347">
        <f t="shared" ca="1" si="412"/>
        <v>1E-4</v>
      </c>
      <c r="B906" s="304">
        <f t="shared" ca="1" si="413"/>
        <v>36.638800000001496</v>
      </c>
      <c r="D906" s="306">
        <f t="shared" ca="1" si="414"/>
        <v>-0.50216528580387243</v>
      </c>
      <c r="E906" s="307">
        <f t="shared" ca="1" si="415"/>
        <v>-0.34073784483260283</v>
      </c>
      <c r="F906" s="304">
        <f t="shared" ca="1" si="416"/>
        <v>0.60685439206423464</v>
      </c>
      <c r="G906" s="306">
        <f t="shared" ca="1" si="417"/>
        <v>5.3262075762951415</v>
      </c>
      <c r="H906" s="307">
        <f t="shared" ca="1" si="418"/>
        <v>-100.43654924530411</v>
      </c>
      <c r="I906" s="304">
        <f t="shared" ca="1" si="419"/>
        <v>100.57767600939177</v>
      </c>
      <c r="J906" s="306">
        <f t="shared" ca="1" si="420"/>
        <v>711.72888807733182</v>
      </c>
      <c r="K906" s="307">
        <f t="shared" ca="1" si="421"/>
        <v>-12.338760401093444</v>
      </c>
      <c r="L906" s="304">
        <f t="shared" ca="1" si="406"/>
        <v>711.83583439725112</v>
      </c>
      <c r="M906" s="306">
        <f t="shared" ca="1" si="422"/>
        <v>-1.5178153834685713</v>
      </c>
      <c r="N906" s="304">
        <f t="shared" ca="1" si="423"/>
        <v>-86.964415552779755</v>
      </c>
      <c r="P906" s="310">
        <f t="shared" ca="1" si="424"/>
        <v>23</v>
      </c>
      <c r="Q906" s="304">
        <f t="shared" ca="1" si="425"/>
        <v>0</v>
      </c>
      <c r="R906" s="306">
        <f t="shared" ca="1" si="426"/>
        <v>0</v>
      </c>
      <c r="S906" s="307">
        <f t="shared" ca="1" si="427"/>
        <v>2.6792999999999987</v>
      </c>
      <c r="T906" s="304">
        <f t="shared" ca="1" si="407"/>
        <v>26.283932999999987</v>
      </c>
      <c r="U906" s="311">
        <f t="shared" ca="1" si="408"/>
        <v>0</v>
      </c>
      <c r="V906" s="306">
        <f t="shared" ca="1" si="409"/>
        <v>1.2265124312254596</v>
      </c>
      <c r="W906" s="304">
        <f t="shared" ca="1" si="410"/>
        <v>25.406685787534336</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0.31366672054523903</v>
      </c>
      <c r="AH906" s="304">
        <f t="shared" ca="1" si="434"/>
        <v>-9.482567992772422</v>
      </c>
    </row>
    <row r="907" spans="1:34" x14ac:dyDescent="0.2">
      <c r="A907" s="347">
        <f t="shared" ca="1" si="412"/>
        <v>1E-4</v>
      </c>
      <c r="B907" s="304">
        <f t="shared" ca="1" si="413"/>
        <v>36.638900000001499</v>
      </c>
      <c r="D907" s="306">
        <f t="shared" ca="1" si="414"/>
        <v>-0.50216121229554456</v>
      </c>
      <c r="E907" s="307">
        <f t="shared" ca="1" si="415"/>
        <v>-0.3407221685705597</v>
      </c>
      <c r="F907" s="304">
        <f t="shared" ca="1" si="416"/>
        <v>0.60684221943562555</v>
      </c>
      <c r="G907" s="306">
        <f t="shared" ca="1" si="417"/>
        <v>5.3261573601739123</v>
      </c>
      <c r="H907" s="307">
        <f t="shared" ca="1" si="418"/>
        <v>-100.43658331752097</v>
      </c>
      <c r="I907" s="304">
        <f t="shared" ca="1" si="419"/>
        <v>100.57770737456022</v>
      </c>
      <c r="J907" s="306">
        <f t="shared" ca="1" si="420"/>
        <v>711.72888807733182</v>
      </c>
      <c r="K907" s="307">
        <f t="shared" ca="1" si="421"/>
        <v>-12.348804057721585</v>
      </c>
      <c r="L907" s="304">
        <f t="shared" ca="1" si="406"/>
        <v>711.83600856197995</v>
      </c>
      <c r="M907" s="306">
        <f t="shared" ca="1" si="422"/>
        <v>-1.517815899984557</v>
      </c>
      <c r="N907" s="304">
        <f t="shared" ca="1" si="423"/>
        <v>-86.964445146965787</v>
      </c>
      <c r="P907" s="310">
        <f t="shared" ca="1" si="424"/>
        <v>23</v>
      </c>
      <c r="Q907" s="304">
        <f t="shared" ca="1" si="425"/>
        <v>0</v>
      </c>
      <c r="R907" s="306">
        <f t="shared" ca="1" si="426"/>
        <v>0</v>
      </c>
      <c r="S907" s="307">
        <f t="shared" ca="1" si="427"/>
        <v>2.6792999999999987</v>
      </c>
      <c r="T907" s="304">
        <f t="shared" ca="1" si="407"/>
        <v>26.283932999999987</v>
      </c>
      <c r="U907" s="311">
        <f t="shared" ca="1" si="408"/>
        <v>0</v>
      </c>
      <c r="V907" s="306">
        <f t="shared" ca="1" si="409"/>
        <v>1.2265136630935185</v>
      </c>
      <c r="W907" s="304">
        <f t="shared" ca="1" si="410"/>
        <v>25.406727151338192</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0.31365155033218173</v>
      </c>
      <c r="AH907" s="304">
        <f t="shared" ca="1" si="434"/>
        <v>-9.4825834313195045</v>
      </c>
    </row>
    <row r="908" spans="1:34" x14ac:dyDescent="0.2">
      <c r="A908" s="347">
        <f t="shared" ca="1" si="412"/>
        <v>1E-4</v>
      </c>
      <c r="B908" s="304">
        <f t="shared" ca="1" si="413"/>
        <v>36.639000000001502</v>
      </c>
      <c r="D908" s="306">
        <f t="shared" ca="1" si="414"/>
        <v>-0.50215713880657842</v>
      </c>
      <c r="E908" s="307">
        <f t="shared" ca="1" si="415"/>
        <v>-0.3407064925719645</v>
      </c>
      <c r="F908" s="304">
        <f t="shared" ca="1" si="416"/>
        <v>0.60683004715908662</v>
      </c>
      <c r="G908" s="306">
        <f t="shared" ca="1" si="417"/>
        <v>5.3261071444600319</v>
      </c>
      <c r="H908" s="307">
        <f t="shared" ca="1" si="418"/>
        <v>-100.43661738817023</v>
      </c>
      <c r="I908" s="304">
        <f t="shared" ca="1" si="419"/>
        <v>100.57773873821168</v>
      </c>
      <c r="J908" s="306">
        <f t="shared" ca="1" si="420"/>
        <v>711.72888807733182</v>
      </c>
      <c r="K908" s="307">
        <f t="shared" ca="1" si="421"/>
        <v>-12.35884771775687</v>
      </c>
      <c r="L908" s="304">
        <f t="shared" ca="1" si="406"/>
        <v>711.83618286843625</v>
      </c>
      <c r="M908" s="306">
        <f t="shared" ca="1" si="422"/>
        <v>-1.5178164164953509</v>
      </c>
      <c r="N908" s="304">
        <f t="shared" ca="1" si="423"/>
        <v>-86.964474740854357</v>
      </c>
      <c r="P908" s="310">
        <f t="shared" ca="1" si="424"/>
        <v>23</v>
      </c>
      <c r="Q908" s="304">
        <f t="shared" ca="1" si="425"/>
        <v>0</v>
      </c>
      <c r="R908" s="306">
        <f t="shared" ca="1" si="426"/>
        <v>0</v>
      </c>
      <c r="S908" s="307">
        <f t="shared" ca="1" si="427"/>
        <v>2.6792999999999987</v>
      </c>
      <c r="T908" s="304">
        <f t="shared" ca="1" si="407"/>
        <v>26.283932999999987</v>
      </c>
      <c r="U908" s="311">
        <f t="shared" ca="1" si="408"/>
        <v>0</v>
      </c>
      <c r="V908" s="306">
        <f t="shared" ca="1" si="409"/>
        <v>1.2265148949632334</v>
      </c>
      <c r="W908" s="304">
        <f t="shared" ca="1" si="410"/>
        <v>25.406768514446725</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0.31363638037333885</v>
      </c>
      <c r="AH908" s="304">
        <f t="shared" ca="1" si="434"/>
        <v>-9.4825988696070631</v>
      </c>
    </row>
    <row r="909" spans="1:34" x14ac:dyDescent="0.2">
      <c r="A909" s="347">
        <f t="shared" ca="1" si="412"/>
        <v>1E-4</v>
      </c>
      <c r="B909" s="304">
        <f t="shared" ca="1" si="413"/>
        <v>36.639100000001505</v>
      </c>
      <c r="D909" s="306">
        <f t="shared" ca="1" si="414"/>
        <v>-0.50215306533697279</v>
      </c>
      <c r="E909" s="307">
        <f t="shared" ca="1" si="415"/>
        <v>-0.3406908168368119</v>
      </c>
      <c r="F909" s="304">
        <f t="shared" ca="1" si="416"/>
        <v>0.6068178752346145</v>
      </c>
      <c r="G909" s="306">
        <f t="shared" ca="1" si="417"/>
        <v>5.3260569291534985</v>
      </c>
      <c r="H909" s="307">
        <f t="shared" ca="1" si="418"/>
        <v>-100.43665145725191</v>
      </c>
      <c r="I909" s="304">
        <f t="shared" ca="1" si="419"/>
        <v>100.57777010034616</v>
      </c>
      <c r="J909" s="306">
        <f t="shared" ca="1" si="420"/>
        <v>711.72888807733182</v>
      </c>
      <c r="K909" s="307">
        <f t="shared" ca="1" si="421"/>
        <v>-12.368891381199141</v>
      </c>
      <c r="L909" s="304">
        <f t="shared" ca="1" si="406"/>
        <v>711.83635731662025</v>
      </c>
      <c r="M909" s="306">
        <f t="shared" ca="1" si="422"/>
        <v>-1.517816933000953</v>
      </c>
      <c r="N909" s="304">
        <f t="shared" ca="1" si="423"/>
        <v>-86.964504334445451</v>
      </c>
      <c r="P909" s="310">
        <f t="shared" ca="1" si="424"/>
        <v>23</v>
      </c>
      <c r="Q909" s="304">
        <f t="shared" ca="1" si="425"/>
        <v>0</v>
      </c>
      <c r="R909" s="306">
        <f t="shared" ca="1" si="426"/>
        <v>0</v>
      </c>
      <c r="S909" s="307">
        <f t="shared" ca="1" si="427"/>
        <v>2.6792999999999987</v>
      </c>
      <c r="T909" s="304">
        <f t="shared" ca="1" si="407"/>
        <v>26.283932999999987</v>
      </c>
      <c r="U909" s="311">
        <f t="shared" ca="1" si="408"/>
        <v>0</v>
      </c>
      <c r="V909" s="306">
        <f t="shared" ca="1" si="409"/>
        <v>1.2265161268346041</v>
      </c>
      <c r="W909" s="304">
        <f t="shared" ca="1" si="410"/>
        <v>25.40680987685991</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0.31362121066870152</v>
      </c>
      <c r="AH909" s="304">
        <f t="shared" ca="1" si="434"/>
        <v>-9.4826143076351048</v>
      </c>
    </row>
    <row r="910" spans="1:34" x14ac:dyDescent="0.2">
      <c r="A910" s="347">
        <f t="shared" ca="1" si="412"/>
        <v>1E-4</v>
      </c>
      <c r="B910" s="304">
        <f t="shared" ca="1" si="413"/>
        <v>36.639200000001509</v>
      </c>
      <c r="D910" s="306">
        <f t="shared" ca="1" si="414"/>
        <v>-0.50214899188672812</v>
      </c>
      <c r="E910" s="307">
        <f t="shared" ca="1" si="415"/>
        <v>-0.34067514136511079</v>
      </c>
      <c r="F910" s="304">
        <f t="shared" ca="1" si="416"/>
        <v>0.60680570366221476</v>
      </c>
      <c r="G910" s="306">
        <f t="shared" ca="1" si="417"/>
        <v>5.3260067142543095</v>
      </c>
      <c r="H910" s="307">
        <f t="shared" ca="1" si="418"/>
        <v>-100.43668552476605</v>
      </c>
      <c r="I910" s="304">
        <f t="shared" ca="1" si="419"/>
        <v>100.5778014609637</v>
      </c>
      <c r="J910" s="306">
        <f t="shared" ca="1" si="420"/>
        <v>711.72888807733182</v>
      </c>
      <c r="K910" s="307">
        <f t="shared" ca="1" si="421"/>
        <v>-12.378935048048243</v>
      </c>
      <c r="L910" s="304">
        <f t="shared" ca="1" si="406"/>
        <v>711.83653190653183</v>
      </c>
      <c r="M910" s="306">
        <f t="shared" ca="1" si="422"/>
        <v>-1.5178174495013632</v>
      </c>
      <c r="N910" s="304">
        <f t="shared" ca="1" si="423"/>
        <v>-86.964533927739069</v>
      </c>
      <c r="P910" s="310">
        <f t="shared" ca="1" si="424"/>
        <v>23</v>
      </c>
      <c r="Q910" s="304">
        <f t="shared" ca="1" si="425"/>
        <v>0</v>
      </c>
      <c r="R910" s="306">
        <f t="shared" ca="1" si="426"/>
        <v>0</v>
      </c>
      <c r="S910" s="307">
        <f t="shared" ca="1" si="427"/>
        <v>2.6792999999999987</v>
      </c>
      <c r="T910" s="304">
        <f t="shared" ca="1" si="407"/>
        <v>26.283932999999987</v>
      </c>
      <c r="U910" s="311">
        <f t="shared" ca="1" si="408"/>
        <v>0</v>
      </c>
      <c r="V910" s="306">
        <f t="shared" ca="1" si="409"/>
        <v>1.2265173587076301</v>
      </c>
      <c r="W910" s="304">
        <f t="shared" ca="1" si="410"/>
        <v>25.406851238577772</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0.3136060412182804</v>
      </c>
      <c r="AH910" s="304">
        <f t="shared" ca="1" si="434"/>
        <v>-9.4826297454036208</v>
      </c>
    </row>
    <row r="911" spans="1:34" x14ac:dyDescent="0.2">
      <c r="A911" s="347">
        <f t="shared" ca="1" si="412"/>
        <v>1E-4</v>
      </c>
      <c r="B911" s="304">
        <f t="shared" ca="1" si="413"/>
        <v>36.639300000001512</v>
      </c>
      <c r="D911" s="306">
        <f t="shared" ca="1" si="414"/>
        <v>-0.5021449184558453</v>
      </c>
      <c r="E911" s="307">
        <f t="shared" ca="1" si="415"/>
        <v>-0.34065946615684872</v>
      </c>
      <c r="F911" s="304">
        <f t="shared" ca="1" si="416"/>
        <v>0.6067935324418815</v>
      </c>
      <c r="G911" s="306">
        <f t="shared" ca="1" si="417"/>
        <v>5.325956499762464</v>
      </c>
      <c r="H911" s="307">
        <f t="shared" ca="1" si="418"/>
        <v>-100.43671959071267</v>
      </c>
      <c r="I911" s="304">
        <f t="shared" ca="1" si="419"/>
        <v>100.57783282006432</v>
      </c>
      <c r="J911" s="306">
        <f t="shared" ca="1" si="420"/>
        <v>711.72888807733182</v>
      </c>
      <c r="K911" s="307">
        <f t="shared" ca="1" si="421"/>
        <v>-12.388978718304017</v>
      </c>
      <c r="L911" s="304">
        <f t="shared" ca="1" si="406"/>
        <v>711.83670663817111</v>
      </c>
      <c r="M911" s="306">
        <f t="shared" ca="1" si="422"/>
        <v>-1.5178179659965816</v>
      </c>
      <c r="N911" s="304">
        <f t="shared" ca="1" si="423"/>
        <v>-86.964563520735226</v>
      </c>
      <c r="P911" s="310">
        <f t="shared" ca="1" si="424"/>
        <v>23</v>
      </c>
      <c r="Q911" s="304">
        <f t="shared" ca="1" si="425"/>
        <v>0</v>
      </c>
      <c r="R911" s="306">
        <f t="shared" ca="1" si="426"/>
        <v>0</v>
      </c>
      <c r="S911" s="307">
        <f t="shared" ca="1" si="427"/>
        <v>2.6792999999999987</v>
      </c>
      <c r="T911" s="304">
        <f t="shared" ca="1" si="407"/>
        <v>26.283932999999987</v>
      </c>
      <c r="U911" s="311">
        <f t="shared" ca="1" si="408"/>
        <v>0</v>
      </c>
      <c r="V911" s="306">
        <f t="shared" ca="1" si="409"/>
        <v>1.2265185905823126</v>
      </c>
      <c r="W911" s="304">
        <f t="shared" ca="1" si="410"/>
        <v>25.406892599600344</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0.31359087202206304</v>
      </c>
      <c r="AH911" s="304">
        <f t="shared" ca="1" si="434"/>
        <v>-9.4826451829126199</v>
      </c>
    </row>
    <row r="912" spans="1:34" x14ac:dyDescent="0.2">
      <c r="A912" s="347">
        <f t="shared" ca="1" si="412"/>
        <v>1E-4</v>
      </c>
      <c r="B912" s="304">
        <f t="shared" ca="1" si="413"/>
        <v>36.639400000001515</v>
      </c>
      <c r="D912" s="306">
        <f t="shared" ca="1" si="414"/>
        <v>-0.50214084504432566</v>
      </c>
      <c r="E912" s="307">
        <f t="shared" ca="1" si="415"/>
        <v>-0.3406437912120186</v>
      </c>
      <c r="F912" s="304">
        <f t="shared" ca="1" si="416"/>
        <v>0.60678136157361229</v>
      </c>
      <c r="G912" s="306">
        <f t="shared" ca="1" si="417"/>
        <v>5.3259062856779593</v>
      </c>
      <c r="H912" s="307">
        <f t="shared" ca="1" si="418"/>
        <v>-100.43675365509179</v>
      </c>
      <c r="I912" s="304">
        <f t="shared" ca="1" si="419"/>
        <v>100.57786417764804</v>
      </c>
      <c r="J912" s="306">
        <f t="shared" ca="1" si="420"/>
        <v>711.72888807733182</v>
      </c>
      <c r="K912" s="307">
        <f t="shared" ca="1" si="421"/>
        <v>-12.399022391966307</v>
      </c>
      <c r="L912" s="304">
        <f t="shared" ca="1" si="406"/>
        <v>711.83688151153819</v>
      </c>
      <c r="M912" s="306">
        <f t="shared" ca="1" si="422"/>
        <v>-1.5178184824866086</v>
      </c>
      <c r="N912" s="304">
        <f t="shared" ca="1" si="423"/>
        <v>-86.964593113433921</v>
      </c>
      <c r="P912" s="310">
        <f t="shared" ca="1" si="424"/>
        <v>23</v>
      </c>
      <c r="Q912" s="304">
        <f t="shared" ca="1" si="425"/>
        <v>0</v>
      </c>
      <c r="R912" s="306">
        <f t="shared" ca="1" si="426"/>
        <v>0</v>
      </c>
      <c r="S912" s="307">
        <f t="shared" ca="1" si="427"/>
        <v>2.6792999999999987</v>
      </c>
      <c r="T912" s="304">
        <f t="shared" ca="1" si="407"/>
        <v>26.283932999999987</v>
      </c>
      <c r="U912" s="311">
        <f t="shared" ca="1" si="408"/>
        <v>0</v>
      </c>
      <c r="V912" s="306">
        <f t="shared" ca="1" si="409"/>
        <v>1.2265198224586507</v>
      </c>
      <c r="W912" s="304">
        <f t="shared" ca="1" si="410"/>
        <v>25.406933959927603</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0.31357570308004235</v>
      </c>
      <c r="AH912" s="304">
        <f t="shared" ca="1" si="434"/>
        <v>-9.4826606201621146</v>
      </c>
    </row>
    <row r="913" spans="1:34" x14ac:dyDescent="0.2">
      <c r="A913" s="347">
        <f t="shared" ca="1" si="412"/>
        <v>1E-4</v>
      </c>
      <c r="B913" s="304">
        <f t="shared" ca="1" si="413"/>
        <v>36.639500000001519</v>
      </c>
      <c r="D913" s="306">
        <f t="shared" ca="1" si="414"/>
        <v>-0.5021367716521653</v>
      </c>
      <c r="E913" s="307">
        <f t="shared" ca="1" si="415"/>
        <v>-0.34062811653062219</v>
      </c>
      <c r="F913" s="304">
        <f t="shared" ca="1" si="416"/>
        <v>0.60676919105740523</v>
      </c>
      <c r="G913" s="306">
        <f t="shared" ca="1" si="417"/>
        <v>5.3258560720007937</v>
      </c>
      <c r="H913" s="307">
        <f t="shared" ca="1" si="418"/>
        <v>-100.43678771790344</v>
      </c>
      <c r="I913" s="304">
        <f t="shared" ca="1" si="419"/>
        <v>100.57789553371489</v>
      </c>
      <c r="J913" s="306">
        <f t="shared" ca="1" si="420"/>
        <v>711.72888807733182</v>
      </c>
      <c r="K913" s="307">
        <f t="shared" ca="1" si="421"/>
        <v>-12.409066069034957</v>
      </c>
      <c r="L913" s="304">
        <f t="shared" ca="1" si="406"/>
        <v>711.83705652663298</v>
      </c>
      <c r="M913" s="306">
        <f t="shared" ca="1" si="422"/>
        <v>-1.5178189989714437</v>
      </c>
      <c r="N913" s="304">
        <f t="shared" ca="1" si="423"/>
        <v>-86.964622705835168</v>
      </c>
      <c r="P913" s="310">
        <f t="shared" ca="1" si="424"/>
        <v>23</v>
      </c>
      <c r="Q913" s="304">
        <f t="shared" ca="1" si="425"/>
        <v>0</v>
      </c>
      <c r="R913" s="306">
        <f t="shared" ca="1" si="426"/>
        <v>0</v>
      </c>
      <c r="S913" s="307">
        <f t="shared" ca="1" si="427"/>
        <v>2.6792999999999987</v>
      </c>
      <c r="T913" s="304">
        <f t="shared" ca="1" si="407"/>
        <v>26.283932999999987</v>
      </c>
      <c r="U913" s="311">
        <f t="shared" ca="1" si="408"/>
        <v>0</v>
      </c>
      <c r="V913" s="306">
        <f t="shared" ca="1" si="409"/>
        <v>1.2265210543366447</v>
      </c>
      <c r="W913" s="304">
        <f t="shared" ca="1" si="410"/>
        <v>25.406975319559574</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0.31356053439222187</v>
      </c>
      <c r="AH913" s="304">
        <f t="shared" ca="1" si="434"/>
        <v>-9.4826760571520978</v>
      </c>
    </row>
    <row r="914" spans="1:34" x14ac:dyDescent="0.2">
      <c r="A914" s="347">
        <f t="shared" ca="1" si="412"/>
        <v>1E-4</v>
      </c>
      <c r="B914" s="304">
        <f t="shared" ca="1" si="413"/>
        <v>36.639600000001522</v>
      </c>
      <c r="D914" s="306">
        <f t="shared" ca="1" si="414"/>
        <v>-0.50213269827936946</v>
      </c>
      <c r="E914" s="307">
        <f t="shared" ca="1" si="415"/>
        <v>-0.34061244211265596</v>
      </c>
      <c r="F914" s="304">
        <f t="shared" ca="1" si="416"/>
        <v>0.606757020893263</v>
      </c>
      <c r="G914" s="306">
        <f t="shared" ca="1" si="417"/>
        <v>5.3258058587309653</v>
      </c>
      <c r="H914" s="307">
        <f t="shared" ca="1" si="418"/>
        <v>-100.43682177914765</v>
      </c>
      <c r="I914" s="304">
        <f t="shared" ca="1" si="419"/>
        <v>100.57792688826491</v>
      </c>
      <c r="J914" s="306">
        <f t="shared" ca="1" si="420"/>
        <v>711.72888807733182</v>
      </c>
      <c r="K914" s="307">
        <f t="shared" ca="1" si="421"/>
        <v>-12.41910974950981</v>
      </c>
      <c r="L914" s="304">
        <f t="shared" ca="1" si="406"/>
        <v>711.83723168345546</v>
      </c>
      <c r="M914" s="306">
        <f t="shared" ca="1" si="422"/>
        <v>-1.5178195154510874</v>
      </c>
      <c r="N914" s="304">
        <f t="shared" ca="1" si="423"/>
        <v>-86.964652297938954</v>
      </c>
      <c r="P914" s="310">
        <f t="shared" ca="1" si="424"/>
        <v>23</v>
      </c>
      <c r="Q914" s="304">
        <f t="shared" ca="1" si="425"/>
        <v>0</v>
      </c>
      <c r="R914" s="306">
        <f t="shared" ca="1" si="426"/>
        <v>0</v>
      </c>
      <c r="S914" s="307">
        <f t="shared" ca="1" si="427"/>
        <v>2.6792999999999987</v>
      </c>
      <c r="T914" s="304">
        <f t="shared" ca="1" si="407"/>
        <v>26.283932999999987</v>
      </c>
      <c r="U914" s="311">
        <f t="shared" ca="1" si="408"/>
        <v>0</v>
      </c>
      <c r="V914" s="306">
        <f t="shared" ca="1" si="409"/>
        <v>1.2265222862162946</v>
      </c>
      <c r="W914" s="304">
        <f t="shared" ca="1" si="410"/>
        <v>25.407016678496273</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0.31354536595859628</v>
      </c>
      <c r="AH914" s="304">
        <f t="shared" ca="1" si="434"/>
        <v>-9.4826914938825766</v>
      </c>
    </row>
    <row r="915" spans="1:34" x14ac:dyDescent="0.2">
      <c r="A915" s="347">
        <f t="shared" ca="1" si="412"/>
        <v>1E-4</v>
      </c>
      <c r="B915" s="304">
        <f t="shared" ca="1" si="413"/>
        <v>36.639700000001525</v>
      </c>
      <c r="D915" s="306">
        <f t="shared" ca="1" si="414"/>
        <v>-0.50212862492593491</v>
      </c>
      <c r="E915" s="307">
        <f t="shared" ca="1" si="415"/>
        <v>-0.34059676795811278</v>
      </c>
      <c r="F915" s="304">
        <f t="shared" ca="1" si="416"/>
        <v>0.60674485108117959</v>
      </c>
      <c r="G915" s="306">
        <f t="shared" ca="1" si="417"/>
        <v>5.3257556458684725</v>
      </c>
      <c r="H915" s="307">
        <f t="shared" ca="1" si="418"/>
        <v>-100.43685583882444</v>
      </c>
      <c r="I915" s="304">
        <f t="shared" ca="1" si="419"/>
        <v>100.57795824129809</v>
      </c>
      <c r="J915" s="306">
        <f t="shared" ca="1" si="420"/>
        <v>711.72888807733182</v>
      </c>
      <c r="K915" s="307">
        <f t="shared" ca="1" si="421"/>
        <v>-12.429153433390708</v>
      </c>
      <c r="L915" s="304">
        <f t="shared" ca="1" si="406"/>
        <v>711.83740698200586</v>
      </c>
      <c r="M915" s="306">
        <f t="shared" ca="1" si="422"/>
        <v>-1.5178200319255395</v>
      </c>
      <c r="N915" s="304">
        <f t="shared" ca="1" si="423"/>
        <v>-86.964681889745279</v>
      </c>
      <c r="P915" s="310">
        <f t="shared" ca="1" si="424"/>
        <v>23</v>
      </c>
      <c r="Q915" s="304">
        <f t="shared" ca="1" si="425"/>
        <v>0</v>
      </c>
      <c r="R915" s="306">
        <f t="shared" ca="1" si="426"/>
        <v>0</v>
      </c>
      <c r="S915" s="307">
        <f t="shared" ca="1" si="427"/>
        <v>2.6792999999999987</v>
      </c>
      <c r="T915" s="304">
        <f t="shared" ca="1" si="407"/>
        <v>26.283932999999987</v>
      </c>
      <c r="U915" s="311">
        <f t="shared" ca="1" si="408"/>
        <v>0</v>
      </c>
      <c r="V915" s="306">
        <f t="shared" ca="1" si="409"/>
        <v>1.2265235180976</v>
      </c>
      <c r="W915" s="304">
        <f t="shared" ca="1" si="410"/>
        <v>25.407058036737684</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0.31353019777915847</v>
      </c>
      <c r="AH915" s="304">
        <f t="shared" ca="1" si="434"/>
        <v>-9.4827069303535563</v>
      </c>
    </row>
    <row r="916" spans="1:34" x14ac:dyDescent="0.2">
      <c r="A916" s="347">
        <f t="shared" ca="1" si="412"/>
        <v>1E-4</v>
      </c>
      <c r="B916" s="304">
        <f t="shared" ca="1" si="413"/>
        <v>36.639800000001529</v>
      </c>
      <c r="D916" s="306">
        <f t="shared" ca="1" si="414"/>
        <v>-0.5021245515918642</v>
      </c>
      <c r="E916" s="307">
        <f t="shared" ca="1" si="415"/>
        <v>-0.34058109406699444</v>
      </c>
      <c r="F916" s="304">
        <f t="shared" ca="1" si="416"/>
        <v>0.60673268162115812</v>
      </c>
      <c r="G916" s="306">
        <f t="shared" ca="1" si="417"/>
        <v>5.3257054334133134</v>
      </c>
      <c r="H916" s="307">
        <f t="shared" ca="1" si="418"/>
        <v>-100.43688989693385</v>
      </c>
      <c r="I916" s="304">
        <f t="shared" ca="1" si="419"/>
        <v>100.57798959281449</v>
      </c>
      <c r="J916" s="306">
        <f t="shared" ca="1" si="420"/>
        <v>711.72888807733182</v>
      </c>
      <c r="K916" s="307">
        <f t="shared" ca="1" si="421"/>
        <v>-12.439197120677495</v>
      </c>
      <c r="L916" s="304">
        <f t="shared" ca="1" si="406"/>
        <v>711.83758242228419</v>
      </c>
      <c r="M916" s="306">
        <f t="shared" ca="1" si="422"/>
        <v>-1.5178205483948004</v>
      </c>
      <c r="N916" s="304">
        <f t="shared" ca="1" si="423"/>
        <v>-86.964711481254184</v>
      </c>
      <c r="P916" s="310">
        <f t="shared" ca="1" si="424"/>
        <v>23</v>
      </c>
      <c r="Q916" s="304">
        <f t="shared" ca="1" si="425"/>
        <v>0</v>
      </c>
      <c r="R916" s="306">
        <f t="shared" ca="1" si="426"/>
        <v>0</v>
      </c>
      <c r="S916" s="307">
        <f t="shared" ca="1" si="427"/>
        <v>2.6792999999999987</v>
      </c>
      <c r="T916" s="304">
        <f t="shared" ca="1" si="407"/>
        <v>26.283932999999987</v>
      </c>
      <c r="U916" s="311">
        <f t="shared" ca="1" si="408"/>
        <v>0</v>
      </c>
      <c r="V916" s="306">
        <f t="shared" ca="1" si="409"/>
        <v>1.2265247499805616</v>
      </c>
      <c r="W916" s="304">
        <f t="shared" ca="1" si="410"/>
        <v>25.407099394283847</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0.31351502985391377</v>
      </c>
      <c r="AH916" s="304">
        <f t="shared" ca="1" si="434"/>
        <v>-9.4827223665650351</v>
      </c>
    </row>
    <row r="917" spans="1:34" x14ac:dyDescent="0.2">
      <c r="A917" s="347">
        <f t="shared" ca="1" si="412"/>
        <v>1E-4</v>
      </c>
      <c r="B917" s="304">
        <f t="shared" ca="1" si="413"/>
        <v>36.639900000001532</v>
      </c>
      <c r="D917" s="306">
        <f t="shared" ca="1" si="414"/>
        <v>-0.50212047827715445</v>
      </c>
      <c r="E917" s="307">
        <f t="shared" ca="1" si="415"/>
        <v>-0.34056542043929028</v>
      </c>
      <c r="F917" s="304">
        <f t="shared" ca="1" si="416"/>
        <v>0.60672051251319081</v>
      </c>
      <c r="G917" s="306">
        <f t="shared" ca="1" si="417"/>
        <v>5.3256552213654853</v>
      </c>
      <c r="H917" s="307">
        <f t="shared" ca="1" si="418"/>
        <v>-100.4369239534759</v>
      </c>
      <c r="I917" s="304">
        <f t="shared" ca="1" si="419"/>
        <v>100.57802094281413</v>
      </c>
      <c r="J917" s="306">
        <f t="shared" ca="1" si="420"/>
        <v>711.72888807733182</v>
      </c>
      <c r="K917" s="307">
        <f t="shared" ca="1" si="421"/>
        <v>-12.449240811370014</v>
      </c>
      <c r="L917" s="304">
        <f t="shared" ca="1" si="406"/>
        <v>711.83775800429032</v>
      </c>
      <c r="M917" s="306">
        <f t="shared" ca="1" si="422"/>
        <v>-1.5178210648588697</v>
      </c>
      <c r="N917" s="304">
        <f t="shared" ca="1" si="423"/>
        <v>-86.964741072465628</v>
      </c>
      <c r="P917" s="310">
        <f t="shared" ca="1" si="424"/>
        <v>23</v>
      </c>
      <c r="Q917" s="304">
        <f t="shared" ca="1" si="425"/>
        <v>0</v>
      </c>
      <c r="R917" s="306">
        <f t="shared" ca="1" si="426"/>
        <v>0</v>
      </c>
      <c r="S917" s="307">
        <f t="shared" ca="1" si="427"/>
        <v>2.6792999999999987</v>
      </c>
      <c r="T917" s="304">
        <f t="shared" ca="1" si="407"/>
        <v>26.283932999999987</v>
      </c>
      <c r="U917" s="311">
        <f t="shared" ca="1" si="408"/>
        <v>0</v>
      </c>
      <c r="V917" s="306">
        <f t="shared" ca="1" si="409"/>
        <v>1.2265259818651784</v>
      </c>
      <c r="W917" s="304">
        <f t="shared" ca="1" si="410"/>
        <v>25.407140751134754</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0.31349986218284975</v>
      </c>
      <c r="AH917" s="304">
        <f t="shared" ca="1" si="434"/>
        <v>-9.4827378025170237</v>
      </c>
    </row>
    <row r="918" spans="1:34" x14ac:dyDescent="0.2">
      <c r="A918" s="347">
        <f t="shared" ca="1" si="412"/>
        <v>1E-4</v>
      </c>
      <c r="B918" s="304">
        <f t="shared" ca="1" si="413"/>
        <v>36.640000000001535</v>
      </c>
      <c r="D918" s="306">
        <f t="shared" ca="1" si="414"/>
        <v>-0.5021164049818102</v>
      </c>
      <c r="E918" s="307">
        <f t="shared" ca="1" si="415"/>
        <v>-0.34054974707500385</v>
      </c>
      <c r="F918" s="304">
        <f t="shared" ca="1" si="416"/>
        <v>0.60670834375728366</v>
      </c>
      <c r="G918" s="306">
        <f t="shared" ca="1" si="417"/>
        <v>5.3256050097249874</v>
      </c>
      <c r="H918" s="307">
        <f t="shared" ca="1" si="418"/>
        <v>-100.4369580084506</v>
      </c>
      <c r="I918" s="304">
        <f t="shared" ca="1" si="419"/>
        <v>100.57805229129701</v>
      </c>
      <c r="J918" s="306">
        <f t="shared" ca="1" si="420"/>
        <v>711.72888807733182</v>
      </c>
      <c r="K918" s="307">
        <f t="shared" ca="1" si="421"/>
        <v>-12.45928450546811</v>
      </c>
      <c r="L918" s="304">
        <f t="shared" ca="1" si="406"/>
        <v>711.83793372802438</v>
      </c>
      <c r="M918" s="306">
        <f t="shared" ca="1" si="422"/>
        <v>-1.5178215813177478</v>
      </c>
      <c r="N918" s="304">
        <f t="shared" ca="1" si="423"/>
        <v>-86.964770663379625</v>
      </c>
      <c r="P918" s="310">
        <f t="shared" ca="1" si="424"/>
        <v>23</v>
      </c>
      <c r="Q918" s="304">
        <f t="shared" ca="1" si="425"/>
        <v>0</v>
      </c>
      <c r="R918" s="306">
        <f t="shared" ca="1" si="426"/>
        <v>0</v>
      </c>
      <c r="S918" s="307">
        <f t="shared" ca="1" si="427"/>
        <v>2.6792999999999987</v>
      </c>
      <c r="T918" s="304">
        <f t="shared" ca="1" si="407"/>
        <v>26.283932999999987</v>
      </c>
      <c r="U918" s="311">
        <f t="shared" ca="1" si="408"/>
        <v>0</v>
      </c>
      <c r="V918" s="306">
        <f t="shared" ca="1" si="409"/>
        <v>1.2265272137514514</v>
      </c>
      <c r="W918" s="304">
        <f t="shared" ca="1" si="410"/>
        <v>25.407182107290417</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0.31348469476596641</v>
      </c>
      <c r="AH918" s="304">
        <f t="shared" ca="1" si="434"/>
        <v>-9.4827532382095203</v>
      </c>
    </row>
    <row r="919" spans="1:34" x14ac:dyDescent="0.2">
      <c r="A919" s="347">
        <f t="shared" ca="1" si="412"/>
        <v>1E-4</v>
      </c>
      <c r="B919" s="304">
        <f t="shared" ca="1" si="413"/>
        <v>36.640100000001539</v>
      </c>
      <c r="D919" s="306">
        <f t="shared" ca="1" si="414"/>
        <v>-0.50211233170582847</v>
      </c>
      <c r="E919" s="307">
        <f t="shared" ca="1" si="415"/>
        <v>-0.34053407397412627</v>
      </c>
      <c r="F919" s="304">
        <f t="shared" ca="1" si="416"/>
        <v>0.60669617535342979</v>
      </c>
      <c r="G919" s="306">
        <f t="shared" ca="1" si="417"/>
        <v>5.325554798491817</v>
      </c>
      <c r="H919" s="307">
        <f t="shared" ca="1" si="418"/>
        <v>-100.43699206185801</v>
      </c>
      <c r="I919" s="304">
        <f t="shared" ca="1" si="419"/>
        <v>100.57808363826319</v>
      </c>
      <c r="J919" s="306">
        <f t="shared" ca="1" si="420"/>
        <v>711.72888807733182</v>
      </c>
      <c r="K919" s="307">
        <f t="shared" ca="1" si="421"/>
        <v>-12.469328202971626</v>
      </c>
      <c r="L919" s="304">
        <f t="shared" ca="1" si="406"/>
        <v>711.83810959348648</v>
      </c>
      <c r="M919" s="306">
        <f t="shared" ca="1" si="422"/>
        <v>-1.5178220977714347</v>
      </c>
      <c r="N919" s="304">
        <f t="shared" ca="1" si="423"/>
        <v>-86.964800253996202</v>
      </c>
      <c r="P919" s="310">
        <f t="shared" ca="1" si="424"/>
        <v>23</v>
      </c>
      <c r="Q919" s="304">
        <f t="shared" ca="1" si="425"/>
        <v>0</v>
      </c>
      <c r="R919" s="306">
        <f t="shared" ca="1" si="426"/>
        <v>0</v>
      </c>
      <c r="S919" s="307">
        <f t="shared" ca="1" si="427"/>
        <v>2.6792999999999987</v>
      </c>
      <c r="T919" s="304">
        <f t="shared" ca="1" si="407"/>
        <v>26.283932999999987</v>
      </c>
      <c r="U919" s="311">
        <f t="shared" ca="1" si="408"/>
        <v>0</v>
      </c>
      <c r="V919" s="306">
        <f t="shared" ca="1" si="409"/>
        <v>1.2265284456393801</v>
      </c>
      <c r="W919" s="304">
        <f t="shared" ca="1" si="410"/>
        <v>25.40722346275086</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0.31346952760325841</v>
      </c>
      <c r="AH919" s="304">
        <f t="shared" ca="1" si="434"/>
        <v>-9.4827686736425303</v>
      </c>
    </row>
    <row r="920" spans="1:34" x14ac:dyDescent="0.2">
      <c r="A920" s="347">
        <f t="shared" ca="1" si="412"/>
        <v>1E-4</v>
      </c>
      <c r="B920" s="304">
        <f t="shared" ca="1" si="413"/>
        <v>36.640200000001542</v>
      </c>
      <c r="D920" s="306">
        <f t="shared" ca="1" si="414"/>
        <v>-0.50210825844921003</v>
      </c>
      <c r="E920" s="307">
        <f t="shared" ca="1" si="415"/>
        <v>-0.34051840113665399</v>
      </c>
      <c r="F920" s="304">
        <f t="shared" ca="1" si="416"/>
        <v>0.60668400730162808</v>
      </c>
      <c r="G920" s="306">
        <f t="shared" ca="1" si="417"/>
        <v>5.3255045876659723</v>
      </c>
      <c r="H920" s="307">
        <f t="shared" ca="1" si="418"/>
        <v>-100.43702611369812</v>
      </c>
      <c r="I920" s="304">
        <f t="shared" ca="1" si="419"/>
        <v>100.57811498371268</v>
      </c>
      <c r="J920" s="306">
        <f t="shared" ca="1" si="420"/>
        <v>711.72888807733182</v>
      </c>
      <c r="K920" s="307">
        <f t="shared" ca="1" si="421"/>
        <v>-12.479371903880404</v>
      </c>
      <c r="L920" s="304">
        <f t="shared" ca="1" si="406"/>
        <v>711.83828560067661</v>
      </c>
      <c r="M920" s="306">
        <f t="shared" ca="1" si="422"/>
        <v>-1.5178226142199305</v>
      </c>
      <c r="N920" s="304">
        <f t="shared" ca="1" si="423"/>
        <v>-86.964829844315346</v>
      </c>
      <c r="P920" s="310">
        <f t="shared" ca="1" si="424"/>
        <v>23</v>
      </c>
      <c r="Q920" s="304">
        <f t="shared" ca="1" si="425"/>
        <v>0</v>
      </c>
      <c r="R920" s="306">
        <f t="shared" ca="1" si="426"/>
        <v>0</v>
      </c>
      <c r="S920" s="307">
        <f t="shared" ca="1" si="427"/>
        <v>2.6792999999999987</v>
      </c>
      <c r="T920" s="304">
        <f t="shared" ca="1" si="407"/>
        <v>26.283932999999987</v>
      </c>
      <c r="U920" s="311">
        <f t="shared" ca="1" si="408"/>
        <v>0</v>
      </c>
      <c r="V920" s="306">
        <f t="shared" ca="1" si="409"/>
        <v>1.226529677528964</v>
      </c>
      <c r="W920" s="304">
        <f t="shared" ca="1" si="410"/>
        <v>25.407264817516058</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0.31345436069472221</v>
      </c>
      <c r="AH920" s="304">
        <f t="shared" ca="1" si="434"/>
        <v>-9.4827841088160607</v>
      </c>
    </row>
    <row r="921" spans="1:34" x14ac:dyDescent="0.2">
      <c r="A921" s="347">
        <f t="shared" ca="1" si="412"/>
        <v>1E-4</v>
      </c>
      <c r="B921" s="304">
        <f t="shared" ca="1" si="413"/>
        <v>36.640300000001545</v>
      </c>
      <c r="D921" s="306">
        <f t="shared" ca="1" si="414"/>
        <v>-0.50210418521195532</v>
      </c>
      <c r="E921" s="307">
        <f t="shared" ca="1" si="415"/>
        <v>-0.34050272856259234</v>
      </c>
      <c r="F921" s="304">
        <f t="shared" ca="1" si="416"/>
        <v>0.6066718396018822</v>
      </c>
      <c r="G921" s="306">
        <f t="shared" ca="1" si="417"/>
        <v>5.3254543772474507</v>
      </c>
      <c r="H921" s="307">
        <f t="shared" ca="1" si="418"/>
        <v>-100.43706016397098</v>
      </c>
      <c r="I921" s="304">
        <f t="shared" ca="1" si="419"/>
        <v>100.5781463276455</v>
      </c>
      <c r="J921" s="306">
        <f t="shared" ca="1" si="420"/>
        <v>711.72888807733182</v>
      </c>
      <c r="K921" s="307">
        <f t="shared" ca="1" si="421"/>
        <v>-12.489415608194287</v>
      </c>
      <c r="L921" s="304">
        <f t="shared" ca="1" si="406"/>
        <v>711.83846174959479</v>
      </c>
      <c r="M921" s="306">
        <f t="shared" ca="1" si="422"/>
        <v>-1.517823130663235</v>
      </c>
      <c r="N921" s="304">
        <f t="shared" ca="1" si="423"/>
        <v>-86.964859434337058</v>
      </c>
      <c r="P921" s="310">
        <f t="shared" ca="1" si="424"/>
        <v>23</v>
      </c>
      <c r="Q921" s="304">
        <f t="shared" ca="1" si="425"/>
        <v>0</v>
      </c>
      <c r="R921" s="306">
        <f t="shared" ca="1" si="426"/>
        <v>0</v>
      </c>
      <c r="S921" s="307">
        <f t="shared" ca="1" si="427"/>
        <v>2.6792999999999987</v>
      </c>
      <c r="T921" s="304">
        <f t="shared" ca="1" si="407"/>
        <v>26.283932999999987</v>
      </c>
      <c r="U921" s="311">
        <f t="shared" ca="1" si="408"/>
        <v>0</v>
      </c>
      <c r="V921" s="306">
        <f t="shared" ca="1" si="409"/>
        <v>1.2265309094202042</v>
      </c>
      <c r="W921" s="304">
        <f t="shared" ca="1" si="410"/>
        <v>25.407306171586061</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0.31343919404036313</v>
      </c>
      <c r="AH921" s="304">
        <f t="shared" ca="1" si="434"/>
        <v>-9.4827995437301045</v>
      </c>
    </row>
    <row r="922" spans="1:34" x14ac:dyDescent="0.2">
      <c r="A922" s="347">
        <f t="shared" ca="1" si="412"/>
        <v>1E-4</v>
      </c>
      <c r="B922" s="304">
        <f t="shared" ca="1" si="413"/>
        <v>36.640400000001549</v>
      </c>
      <c r="D922" s="306">
        <f t="shared" ca="1" si="414"/>
        <v>-0.50210011199406579</v>
      </c>
      <c r="E922" s="307">
        <f t="shared" ca="1" si="415"/>
        <v>-0.34048705625192355</v>
      </c>
      <c r="F922" s="304">
        <f t="shared" ca="1" si="416"/>
        <v>0.60665967225418405</v>
      </c>
      <c r="G922" s="306">
        <f t="shared" ca="1" si="417"/>
        <v>5.3254041672362513</v>
      </c>
      <c r="H922" s="307">
        <f t="shared" ca="1" si="418"/>
        <v>-100.43709421267661</v>
      </c>
      <c r="I922" s="304">
        <f t="shared" ca="1" si="419"/>
        <v>100.57817767006168</v>
      </c>
      <c r="J922" s="306">
        <f t="shared" ca="1" si="420"/>
        <v>711.72888807733182</v>
      </c>
      <c r="K922" s="307">
        <f t="shared" ca="1" si="421"/>
        <v>-12.49945931591312</v>
      </c>
      <c r="L922" s="304">
        <f t="shared" ca="1" si="406"/>
        <v>711.83863804024099</v>
      </c>
      <c r="M922" s="306">
        <f t="shared" ca="1" si="422"/>
        <v>-1.5178236471013486</v>
      </c>
      <c r="N922" s="304">
        <f t="shared" ca="1" si="423"/>
        <v>-86.96488902406135</v>
      </c>
      <c r="P922" s="310">
        <f t="shared" ca="1" si="424"/>
        <v>23</v>
      </c>
      <c r="Q922" s="304">
        <f t="shared" ca="1" si="425"/>
        <v>0</v>
      </c>
      <c r="R922" s="306">
        <f t="shared" ca="1" si="426"/>
        <v>0</v>
      </c>
      <c r="S922" s="307">
        <f t="shared" ca="1" si="427"/>
        <v>2.6792999999999987</v>
      </c>
      <c r="T922" s="304">
        <f t="shared" ca="1" si="407"/>
        <v>26.283932999999987</v>
      </c>
      <c r="U922" s="311">
        <f t="shared" ca="1" si="408"/>
        <v>0</v>
      </c>
      <c r="V922" s="306">
        <f t="shared" ca="1" si="409"/>
        <v>1.2265321413131001</v>
      </c>
      <c r="W922" s="304">
        <f t="shared" ca="1" si="410"/>
        <v>25.407347524960862</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0.31342402764016519</v>
      </c>
      <c r="AH922" s="304">
        <f t="shared" ca="1" si="434"/>
        <v>-9.4828149783846793</v>
      </c>
    </row>
    <row r="923" spans="1:34" x14ac:dyDescent="0.2">
      <c r="A923" s="347">
        <f t="shared" ca="1" si="412"/>
        <v>1E-4</v>
      </c>
      <c r="B923" s="304">
        <f t="shared" ca="1" si="413"/>
        <v>36.640500000001552</v>
      </c>
      <c r="D923" s="306">
        <f t="shared" ca="1" si="414"/>
        <v>-0.5020960387955401</v>
      </c>
      <c r="E923" s="307">
        <f t="shared" ca="1" si="415"/>
        <v>-0.34047138420464762</v>
      </c>
      <c r="F923" s="304">
        <f t="shared" ca="1" si="416"/>
        <v>0.6066475052585325</v>
      </c>
      <c r="G923" s="306">
        <f t="shared" ca="1" si="417"/>
        <v>5.3253539576323714</v>
      </c>
      <c r="H923" s="307">
        <f t="shared" ca="1" si="418"/>
        <v>-100.43712825981503</v>
      </c>
      <c r="I923" s="304">
        <f t="shared" ca="1" si="419"/>
        <v>100.57820901096123</v>
      </c>
      <c r="J923" s="306">
        <f t="shared" ca="1" si="420"/>
        <v>711.72888807733182</v>
      </c>
      <c r="K923" s="307">
        <f t="shared" ca="1" si="421"/>
        <v>-12.509503027036745</v>
      </c>
      <c r="L923" s="304">
        <f t="shared" ca="1" si="406"/>
        <v>711.83881447261535</v>
      </c>
      <c r="M923" s="306">
        <f t="shared" ca="1" si="422"/>
        <v>-1.5178241635342711</v>
      </c>
      <c r="N923" s="304">
        <f t="shared" ca="1" si="423"/>
        <v>-86.964918613488209</v>
      </c>
      <c r="P923" s="310">
        <f t="shared" ca="1" si="424"/>
        <v>23</v>
      </c>
      <c r="Q923" s="304">
        <f t="shared" ca="1" si="425"/>
        <v>0</v>
      </c>
      <c r="R923" s="306">
        <f t="shared" ca="1" si="426"/>
        <v>0</v>
      </c>
      <c r="S923" s="307">
        <f t="shared" ca="1" si="427"/>
        <v>2.6792999999999987</v>
      </c>
      <c r="T923" s="304">
        <f t="shared" ca="1" si="407"/>
        <v>26.283932999999987</v>
      </c>
      <c r="U923" s="311">
        <f t="shared" ca="1" si="408"/>
        <v>0</v>
      </c>
      <c r="V923" s="306">
        <f t="shared" ca="1" si="409"/>
        <v>1.2265333732076509</v>
      </c>
      <c r="W923" s="304">
        <f t="shared" ca="1" si="410"/>
        <v>25.407388877640443</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0.31340886149412839</v>
      </c>
      <c r="AH923" s="304">
        <f t="shared" ca="1" si="434"/>
        <v>-9.4828304127797836</v>
      </c>
    </row>
    <row r="924" spans="1:34" x14ac:dyDescent="0.2">
      <c r="A924" s="347">
        <f t="shared" ca="1" si="412"/>
        <v>1E-4</v>
      </c>
      <c r="B924" s="304">
        <f t="shared" ca="1" si="413"/>
        <v>36.640600000001555</v>
      </c>
      <c r="D924" s="306">
        <f t="shared" ca="1" si="414"/>
        <v>-0.50209196561638025</v>
      </c>
      <c r="E924" s="307">
        <f t="shared" ca="1" si="415"/>
        <v>-0.34045571242077699</v>
      </c>
      <c r="F924" s="304">
        <f t="shared" ca="1" si="416"/>
        <v>0.6066353386149369</v>
      </c>
      <c r="G924" s="306">
        <f t="shared" ca="1" si="417"/>
        <v>5.3253037484358101</v>
      </c>
      <c r="H924" s="307">
        <f t="shared" ca="1" si="418"/>
        <v>-100.43716230538627</v>
      </c>
      <c r="I924" s="304">
        <f t="shared" ca="1" si="419"/>
        <v>100.5782403503442</v>
      </c>
      <c r="J924" s="306">
        <f t="shared" ca="1" si="420"/>
        <v>711.72888807733182</v>
      </c>
      <c r="K924" s="307">
        <f t="shared" ca="1" si="421"/>
        <v>-12.519546741565005</v>
      </c>
      <c r="L924" s="304">
        <f t="shared" ca="1" si="406"/>
        <v>711.83899104671798</v>
      </c>
      <c r="M924" s="306">
        <f t="shared" ca="1" si="422"/>
        <v>-1.5178246799620028</v>
      </c>
      <c r="N924" s="304">
        <f t="shared" ca="1" si="423"/>
        <v>-86.964948202617649</v>
      </c>
      <c r="P924" s="310">
        <f t="shared" ca="1" si="424"/>
        <v>23</v>
      </c>
      <c r="Q924" s="304">
        <f t="shared" ca="1" si="425"/>
        <v>0</v>
      </c>
      <c r="R924" s="306">
        <f t="shared" ca="1" si="426"/>
        <v>0</v>
      </c>
      <c r="S924" s="307">
        <f t="shared" ca="1" si="427"/>
        <v>2.6792999999999987</v>
      </c>
      <c r="T924" s="304">
        <f t="shared" ca="1" si="407"/>
        <v>26.283932999999987</v>
      </c>
      <c r="U924" s="311">
        <f t="shared" ca="1" si="408"/>
        <v>0</v>
      </c>
      <c r="V924" s="306">
        <f t="shared" ca="1" si="409"/>
        <v>1.2265346051038584</v>
      </c>
      <c r="W924" s="304">
        <f t="shared" ca="1" si="410"/>
        <v>25.407430229624865</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0.3133936956022616</v>
      </c>
      <c r="AH924" s="304">
        <f t="shared" ca="1" si="434"/>
        <v>-9.4828458469154082</v>
      </c>
    </row>
    <row r="925" spans="1:34" x14ac:dyDescent="0.2">
      <c r="A925" s="347">
        <f t="shared" ca="1" si="412"/>
        <v>1E-4</v>
      </c>
      <c r="B925" s="304">
        <f t="shared" ca="1" si="413"/>
        <v>36.640700000001559</v>
      </c>
      <c r="D925" s="306">
        <f t="shared" ca="1" si="414"/>
        <v>-0.50208789245658425</v>
      </c>
      <c r="E925" s="307">
        <f t="shared" ca="1" si="415"/>
        <v>-0.34044004090028501</v>
      </c>
      <c r="F925" s="304">
        <f t="shared" ca="1" si="416"/>
        <v>0.60662317232338081</v>
      </c>
      <c r="G925" s="306">
        <f t="shared" ca="1" si="417"/>
        <v>5.3252535396465648</v>
      </c>
      <c r="H925" s="307">
        <f t="shared" ca="1" si="418"/>
        <v>-100.43719634939036</v>
      </c>
      <c r="I925" s="304">
        <f t="shared" ca="1" si="419"/>
        <v>100.57827168821063</v>
      </c>
      <c r="J925" s="306">
        <f t="shared" ca="1" si="420"/>
        <v>711.72888807733182</v>
      </c>
      <c r="K925" s="307">
        <f t="shared" ca="1" si="421"/>
        <v>-12.529590459497744</v>
      </c>
      <c r="L925" s="304">
        <f t="shared" ca="1" si="406"/>
        <v>711.83916776254864</v>
      </c>
      <c r="M925" s="306">
        <f t="shared" ca="1" si="422"/>
        <v>-1.5178251963845435</v>
      </c>
      <c r="N925" s="304">
        <f t="shared" ca="1" si="423"/>
        <v>-86.964977791449684</v>
      </c>
      <c r="P925" s="310">
        <f t="shared" ca="1" si="424"/>
        <v>23</v>
      </c>
      <c r="Q925" s="304">
        <f t="shared" ca="1" si="425"/>
        <v>0</v>
      </c>
      <c r="R925" s="306">
        <f t="shared" ca="1" si="426"/>
        <v>0</v>
      </c>
      <c r="S925" s="307">
        <f t="shared" ca="1" si="427"/>
        <v>2.6792999999999987</v>
      </c>
      <c r="T925" s="304">
        <f t="shared" ca="1" si="407"/>
        <v>26.283932999999987</v>
      </c>
      <c r="U925" s="311">
        <f t="shared" ca="1" si="408"/>
        <v>0</v>
      </c>
      <c r="V925" s="306">
        <f t="shared" ca="1" si="409"/>
        <v>1.2265358370017205</v>
      </c>
      <c r="W925" s="304">
        <f t="shared" ca="1" si="410"/>
        <v>25.407471580914113</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0.31337852996453996</v>
      </c>
      <c r="AH925" s="304">
        <f t="shared" ca="1" si="434"/>
        <v>-9.4828612807915782</v>
      </c>
    </row>
    <row r="926" spans="1:34" x14ac:dyDescent="0.2">
      <c r="A926" s="347">
        <f t="shared" ca="1" si="412"/>
        <v>1E-4</v>
      </c>
      <c r="B926" s="304">
        <f t="shared" ca="1" si="413"/>
        <v>36.640800000001562</v>
      </c>
      <c r="D926" s="306">
        <f t="shared" ca="1" si="414"/>
        <v>-0.50208381931615431</v>
      </c>
      <c r="E926" s="307">
        <f t="shared" ca="1" si="415"/>
        <v>-0.34042436964317702</v>
      </c>
      <c r="F926" s="304">
        <f t="shared" ca="1" si="416"/>
        <v>0.60661100638386967</v>
      </c>
      <c r="G926" s="306">
        <f t="shared" ca="1" si="417"/>
        <v>5.3252033312646327</v>
      </c>
      <c r="H926" s="307">
        <f t="shared" ca="1" si="418"/>
        <v>-100.43723039182733</v>
      </c>
      <c r="I926" s="304">
        <f t="shared" ca="1" si="419"/>
        <v>100.5783030245605</v>
      </c>
      <c r="J926" s="306">
        <f t="shared" ca="1" si="420"/>
        <v>711.72888807733182</v>
      </c>
      <c r="K926" s="307">
        <f t="shared" ca="1" si="421"/>
        <v>-12.539634180834804</v>
      </c>
      <c r="L926" s="304">
        <f t="shared" ca="1" si="406"/>
        <v>711.83934462010757</v>
      </c>
      <c r="M926" s="306">
        <f t="shared" ca="1" si="422"/>
        <v>-1.5178257128018933</v>
      </c>
      <c r="N926" s="304">
        <f t="shared" ca="1" si="423"/>
        <v>-86.965007379984286</v>
      </c>
      <c r="P926" s="310">
        <f t="shared" ca="1" si="424"/>
        <v>23</v>
      </c>
      <c r="Q926" s="304">
        <f t="shared" ca="1" si="425"/>
        <v>0</v>
      </c>
      <c r="R926" s="306">
        <f t="shared" ca="1" si="426"/>
        <v>0</v>
      </c>
      <c r="S926" s="307">
        <f t="shared" ca="1" si="427"/>
        <v>2.6792999999999987</v>
      </c>
      <c r="T926" s="304">
        <f t="shared" ca="1" si="407"/>
        <v>26.283932999999987</v>
      </c>
      <c r="U926" s="311">
        <f t="shared" ca="1" si="408"/>
        <v>0</v>
      </c>
      <c r="V926" s="306">
        <f t="shared" ca="1" si="409"/>
        <v>1.2265370689012387</v>
      </c>
      <c r="W926" s="304">
        <f t="shared" ca="1" si="410"/>
        <v>25.407512931508176</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0.31336336458096881</v>
      </c>
      <c r="AH926" s="304">
        <f t="shared" ca="1" si="434"/>
        <v>-9.4828767144082882</v>
      </c>
    </row>
    <row r="927" spans="1:34" x14ac:dyDescent="0.2">
      <c r="A927" s="347">
        <f t="shared" ca="1" si="412"/>
        <v>1E-4</v>
      </c>
      <c r="B927" s="304">
        <f t="shared" ca="1" si="413"/>
        <v>36.640900000001565</v>
      </c>
      <c r="D927" s="306">
        <f t="shared" ca="1" si="414"/>
        <v>-0.50207974619509088</v>
      </c>
      <c r="E927" s="307">
        <f t="shared" ca="1" si="415"/>
        <v>-0.34040869864945833</v>
      </c>
      <c r="F927" s="304">
        <f t="shared" ca="1" si="416"/>
        <v>0.60659884079640691</v>
      </c>
      <c r="G927" s="306">
        <f t="shared" ca="1" si="417"/>
        <v>5.3251531232900131</v>
      </c>
      <c r="H927" s="307">
        <f t="shared" ca="1" si="418"/>
        <v>-100.43726443269719</v>
      </c>
      <c r="I927" s="304">
        <f t="shared" ca="1" si="419"/>
        <v>100.57833435939385</v>
      </c>
      <c r="J927" s="306">
        <f t="shared" ca="1" si="420"/>
        <v>711.72888807733182</v>
      </c>
      <c r="K927" s="307">
        <f t="shared" ca="1" si="421"/>
        <v>-12.549677905576031</v>
      </c>
      <c r="L927" s="304">
        <f t="shared" ca="1" si="406"/>
        <v>711.83952161939487</v>
      </c>
      <c r="M927" s="306">
        <f t="shared" ca="1" si="422"/>
        <v>-1.5178262292140525</v>
      </c>
      <c r="N927" s="304">
        <f t="shared" ca="1" si="423"/>
        <v>-86.965036968221511</v>
      </c>
      <c r="P927" s="310">
        <f t="shared" ca="1" si="424"/>
        <v>23</v>
      </c>
      <c r="Q927" s="304">
        <f t="shared" ca="1" si="425"/>
        <v>0</v>
      </c>
      <c r="R927" s="306">
        <f t="shared" ca="1" si="426"/>
        <v>0</v>
      </c>
      <c r="S927" s="307">
        <f t="shared" ca="1" si="427"/>
        <v>2.6792999999999987</v>
      </c>
      <c r="T927" s="304">
        <f t="shared" ca="1" si="407"/>
        <v>26.283932999999987</v>
      </c>
      <c r="U927" s="311">
        <f t="shared" ca="1" si="408"/>
        <v>0</v>
      </c>
      <c r="V927" s="306">
        <f t="shared" ca="1" si="409"/>
        <v>1.2265383008024127</v>
      </c>
      <c r="W927" s="304">
        <f t="shared" ca="1" si="410"/>
        <v>25.407554281407094</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0.31334819945155701</v>
      </c>
      <c r="AH927" s="304">
        <f t="shared" ca="1" si="434"/>
        <v>-9.482892147765531</v>
      </c>
    </row>
    <row r="928" spans="1:34" x14ac:dyDescent="0.2">
      <c r="A928" s="347">
        <f t="shared" ca="1" si="412"/>
        <v>1E-4</v>
      </c>
      <c r="B928" s="304">
        <f t="shared" ca="1" si="413"/>
        <v>36.641000000001569</v>
      </c>
      <c r="D928" s="306">
        <f t="shared" ca="1" si="414"/>
        <v>-0.50207567309339141</v>
      </c>
      <c r="E928" s="307">
        <f t="shared" ca="1" si="415"/>
        <v>-0.34039302791911474</v>
      </c>
      <c r="F928" s="304">
        <f t="shared" ca="1" si="416"/>
        <v>0.606586675560983</v>
      </c>
      <c r="G928" s="306">
        <f t="shared" ca="1" si="417"/>
        <v>5.3251029157227041</v>
      </c>
      <c r="H928" s="307">
        <f t="shared" ca="1" si="418"/>
        <v>-100.43729847199998</v>
      </c>
      <c r="I928" s="304">
        <f t="shared" ca="1" si="419"/>
        <v>100.57836569271072</v>
      </c>
      <c r="J928" s="306">
        <f t="shared" ca="1" si="420"/>
        <v>711.72888807733182</v>
      </c>
      <c r="K928" s="307">
        <f t="shared" ca="1" si="421"/>
        <v>-12.559721633721265</v>
      </c>
      <c r="L928" s="304">
        <f t="shared" ca="1" si="406"/>
        <v>711.83969876041033</v>
      </c>
      <c r="M928" s="306">
        <f t="shared" ca="1" si="422"/>
        <v>-1.517826745621021</v>
      </c>
      <c r="N928" s="304">
        <f t="shared" ca="1" si="423"/>
        <v>-86.965066556161318</v>
      </c>
      <c r="P928" s="310">
        <f t="shared" ca="1" si="424"/>
        <v>23</v>
      </c>
      <c r="Q928" s="304">
        <f t="shared" ca="1" si="425"/>
        <v>0</v>
      </c>
      <c r="R928" s="306">
        <f t="shared" ca="1" si="426"/>
        <v>0</v>
      </c>
      <c r="S928" s="307">
        <f t="shared" ca="1" si="427"/>
        <v>2.6792999999999987</v>
      </c>
      <c r="T928" s="304">
        <f t="shared" ca="1" si="407"/>
        <v>26.283932999999987</v>
      </c>
      <c r="U928" s="311">
        <f t="shared" ca="1" si="408"/>
        <v>0</v>
      </c>
      <c r="V928" s="306">
        <f t="shared" ca="1" si="409"/>
        <v>1.2265395327052424</v>
      </c>
      <c r="W928" s="304">
        <f t="shared" ca="1" si="410"/>
        <v>25.407595630610874</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0.31333303457628681</v>
      </c>
      <c r="AH928" s="304">
        <f t="shared" ca="1" si="434"/>
        <v>-9.4829075808633245</v>
      </c>
    </row>
    <row r="929" spans="1:34" x14ac:dyDescent="0.2">
      <c r="A929" s="347">
        <f t="shared" ca="1" si="412"/>
        <v>1E-4</v>
      </c>
      <c r="B929" s="304">
        <f t="shared" ca="1" si="413"/>
        <v>36.641100000001572</v>
      </c>
      <c r="D929" s="306">
        <f t="shared" ca="1" si="414"/>
        <v>-0.50207160001105866</v>
      </c>
      <c r="E929" s="307">
        <f t="shared" ca="1" si="415"/>
        <v>-0.34037735745214093</v>
      </c>
      <c r="F929" s="304">
        <f t="shared" ca="1" si="416"/>
        <v>0.6065745106775976</v>
      </c>
      <c r="G929" s="306">
        <f t="shared" ca="1" si="417"/>
        <v>5.3250527085627031</v>
      </c>
      <c r="H929" s="307">
        <f t="shared" ca="1" si="418"/>
        <v>-100.43733250973573</v>
      </c>
      <c r="I929" s="304">
        <f t="shared" ca="1" si="419"/>
        <v>100.57839702451112</v>
      </c>
      <c r="J929" s="306">
        <f t="shared" ca="1" si="420"/>
        <v>711.72888807733182</v>
      </c>
      <c r="K929" s="307">
        <f t="shared" ca="1" si="421"/>
        <v>-12.569765365270353</v>
      </c>
      <c r="L929" s="304">
        <f t="shared" ca="1" si="406"/>
        <v>711.83987604315416</v>
      </c>
      <c r="M929" s="306">
        <f t="shared" ca="1" si="422"/>
        <v>-1.5178272620227988</v>
      </c>
      <c r="N929" s="304">
        <f t="shared" ca="1" si="423"/>
        <v>-86.965096143803706</v>
      </c>
      <c r="P929" s="310">
        <f t="shared" ca="1" si="424"/>
        <v>23</v>
      </c>
      <c r="Q929" s="304">
        <f t="shared" ca="1" si="425"/>
        <v>0</v>
      </c>
      <c r="R929" s="306">
        <f t="shared" ca="1" si="426"/>
        <v>0</v>
      </c>
      <c r="S929" s="307">
        <f t="shared" ca="1" si="427"/>
        <v>2.6792999999999987</v>
      </c>
      <c r="T929" s="304">
        <f t="shared" ca="1" si="407"/>
        <v>26.283932999999987</v>
      </c>
      <c r="U929" s="311">
        <f t="shared" ca="1" si="408"/>
        <v>0</v>
      </c>
      <c r="V929" s="306">
        <f t="shared" ca="1" si="409"/>
        <v>1.2265407646097273</v>
      </c>
      <c r="W929" s="304">
        <f t="shared" ca="1" si="410"/>
        <v>25.407636979119502</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0.31331786995515643</v>
      </c>
      <c r="AH929" s="304">
        <f t="shared" ca="1" si="434"/>
        <v>-9.4829230137016705</v>
      </c>
    </row>
    <row r="930" spans="1:34" x14ac:dyDescent="0.2">
      <c r="A930" s="347">
        <f t="shared" ca="1" si="412"/>
        <v>1E-4</v>
      </c>
      <c r="B930" s="304">
        <f t="shared" ca="1" si="413"/>
        <v>36.641200000001575</v>
      </c>
      <c r="D930" s="306">
        <f t="shared" ca="1" si="414"/>
        <v>-0.50206752694809287</v>
      </c>
      <c r="E930" s="307">
        <f t="shared" ca="1" si="415"/>
        <v>-0.34036168724854399</v>
      </c>
      <c r="F930" s="304">
        <f t="shared" ca="1" si="416"/>
        <v>0.60656234614625537</v>
      </c>
      <c r="G930" s="306">
        <f t="shared" ca="1" si="417"/>
        <v>5.3250025018100082</v>
      </c>
      <c r="H930" s="307">
        <f t="shared" ca="1" si="418"/>
        <v>-100.43736654590445</v>
      </c>
      <c r="I930" s="304">
        <f t="shared" ca="1" si="419"/>
        <v>100.57842835479509</v>
      </c>
      <c r="J930" s="306">
        <f t="shared" ca="1" si="420"/>
        <v>711.72888807733182</v>
      </c>
      <c r="K930" s="307">
        <f t="shared" ca="1" si="421"/>
        <v>-12.579809100223136</v>
      </c>
      <c r="L930" s="304">
        <f t="shared" ca="1" si="406"/>
        <v>711.84005346762638</v>
      </c>
      <c r="M930" s="306">
        <f t="shared" ca="1" si="422"/>
        <v>-1.5178277784193861</v>
      </c>
      <c r="N930" s="304">
        <f t="shared" ca="1" si="423"/>
        <v>-86.965125731148717</v>
      </c>
      <c r="P930" s="310">
        <f t="shared" ca="1" si="424"/>
        <v>23</v>
      </c>
      <c r="Q930" s="304">
        <f t="shared" ca="1" si="425"/>
        <v>0</v>
      </c>
      <c r="R930" s="306">
        <f t="shared" ca="1" si="426"/>
        <v>0</v>
      </c>
      <c r="S930" s="307">
        <f t="shared" ca="1" si="427"/>
        <v>2.6792999999999987</v>
      </c>
      <c r="T930" s="304">
        <f t="shared" ca="1" si="407"/>
        <v>26.283932999999987</v>
      </c>
      <c r="U930" s="311">
        <f t="shared" ca="1" si="408"/>
        <v>0</v>
      </c>
      <c r="V930" s="306">
        <f t="shared" ca="1" si="409"/>
        <v>1.2265419965158675</v>
      </c>
      <c r="W930" s="304">
        <f t="shared" ca="1" si="410"/>
        <v>25.407678326933002</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0.31330270558816764</v>
      </c>
      <c r="AH930" s="304">
        <f t="shared" ca="1" si="434"/>
        <v>-9.4829384462805635</v>
      </c>
    </row>
    <row r="931" spans="1:34" x14ac:dyDescent="0.2">
      <c r="A931" s="347">
        <f t="shared" ca="1" si="412"/>
        <v>1E-4</v>
      </c>
      <c r="B931" s="304">
        <f t="shared" ca="1" si="413"/>
        <v>36.641300000001578</v>
      </c>
      <c r="D931" s="306">
        <f t="shared" ca="1" si="414"/>
        <v>-0.50206345390449314</v>
      </c>
      <c r="E931" s="307">
        <f t="shared" ca="1" si="415"/>
        <v>-0.34034601730831504</v>
      </c>
      <c r="F931" s="304">
        <f t="shared" ca="1" si="416"/>
        <v>0.60655018196695065</v>
      </c>
      <c r="G931" s="306">
        <f t="shared" ca="1" si="417"/>
        <v>5.3249522954646178</v>
      </c>
      <c r="H931" s="307">
        <f t="shared" ca="1" si="418"/>
        <v>-100.43740058050618</v>
      </c>
      <c r="I931" s="304">
        <f t="shared" ca="1" si="419"/>
        <v>100.57845968356264</v>
      </c>
      <c r="J931" s="306">
        <f t="shared" ca="1" si="420"/>
        <v>711.72888807733182</v>
      </c>
      <c r="K931" s="307">
        <f t="shared" ca="1" si="421"/>
        <v>-12.589852838579455</v>
      </c>
      <c r="L931" s="304">
        <f t="shared" ca="1" si="406"/>
        <v>711.84023103382697</v>
      </c>
      <c r="M931" s="306">
        <f t="shared" ca="1" si="422"/>
        <v>-1.5178282948107829</v>
      </c>
      <c r="N931" s="304">
        <f t="shared" ca="1" si="423"/>
        <v>-86.965155318196324</v>
      </c>
      <c r="P931" s="310">
        <f t="shared" ca="1" si="424"/>
        <v>23</v>
      </c>
      <c r="Q931" s="304">
        <f t="shared" ca="1" si="425"/>
        <v>0</v>
      </c>
      <c r="R931" s="306">
        <f t="shared" ca="1" si="426"/>
        <v>0</v>
      </c>
      <c r="S931" s="307">
        <f t="shared" ca="1" si="427"/>
        <v>2.6792999999999987</v>
      </c>
      <c r="T931" s="304">
        <f t="shared" ca="1" si="407"/>
        <v>26.283932999999987</v>
      </c>
      <c r="U931" s="311">
        <f t="shared" ca="1" si="408"/>
        <v>0</v>
      </c>
      <c r="V931" s="306">
        <f t="shared" ca="1" si="409"/>
        <v>1.2265432284236637</v>
      </c>
      <c r="W931" s="304">
        <f t="shared" ca="1" si="410"/>
        <v>25.407719674051389</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0.3132875414753169</v>
      </c>
      <c r="AH931" s="304">
        <f t="shared" ca="1" si="434"/>
        <v>-9.4829538786000125</v>
      </c>
    </row>
    <row r="932" spans="1:34" x14ac:dyDescent="0.2">
      <c r="A932" s="347">
        <f t="shared" ca="1" si="412"/>
        <v>1E-4</v>
      </c>
      <c r="B932" s="304">
        <f t="shared" ca="1" si="413"/>
        <v>36.641400000001582</v>
      </c>
      <c r="D932" s="306">
        <f t="shared" ca="1" si="414"/>
        <v>-0.50205938088026059</v>
      </c>
      <c r="E932" s="307">
        <f t="shared" ca="1" si="415"/>
        <v>-0.34033034763144521</v>
      </c>
      <c r="F932" s="304">
        <f t="shared" ca="1" si="416"/>
        <v>0.60653801813968011</v>
      </c>
      <c r="G932" s="306">
        <f t="shared" ca="1" si="417"/>
        <v>5.32490208952653</v>
      </c>
      <c r="H932" s="307">
        <f t="shared" ca="1" si="418"/>
        <v>-100.43743461354094</v>
      </c>
      <c r="I932" s="304">
        <f t="shared" ca="1" si="419"/>
        <v>100.57849101081382</v>
      </c>
      <c r="J932" s="306">
        <f t="shared" ca="1" si="420"/>
        <v>711.72888807733182</v>
      </c>
      <c r="K932" s="307">
        <f t="shared" ca="1" si="421"/>
        <v>-12.599896580339157</v>
      </c>
      <c r="L932" s="304">
        <f t="shared" ca="1" si="406"/>
        <v>711.84040874175605</v>
      </c>
      <c r="M932" s="306">
        <f t="shared" ca="1" si="422"/>
        <v>-1.5178288111969893</v>
      </c>
      <c r="N932" s="304">
        <f t="shared" ca="1" si="423"/>
        <v>-86.965184904946554</v>
      </c>
      <c r="P932" s="310">
        <f t="shared" ca="1" si="424"/>
        <v>23</v>
      </c>
      <c r="Q932" s="304">
        <f t="shared" ca="1" si="425"/>
        <v>0</v>
      </c>
      <c r="R932" s="306">
        <f t="shared" ca="1" si="426"/>
        <v>0</v>
      </c>
      <c r="S932" s="307">
        <f t="shared" ca="1" si="427"/>
        <v>2.6792999999999987</v>
      </c>
      <c r="T932" s="304">
        <f t="shared" ca="1" si="407"/>
        <v>26.283932999999987</v>
      </c>
      <c r="U932" s="311">
        <f t="shared" ca="1" si="408"/>
        <v>0</v>
      </c>
      <c r="V932" s="306">
        <f t="shared" ca="1" si="409"/>
        <v>1.2265444603331148</v>
      </c>
      <c r="W932" s="304">
        <f t="shared" ca="1" si="410"/>
        <v>25.407761020474663</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0.31327237761659532</v>
      </c>
      <c r="AH932" s="304">
        <f t="shared" ca="1" si="434"/>
        <v>-9.4829693106600246</v>
      </c>
    </row>
    <row r="933" spans="1:34" x14ac:dyDescent="0.2">
      <c r="A933" s="347">
        <f t="shared" ca="1" si="412"/>
        <v>1E-4</v>
      </c>
      <c r="B933" s="304">
        <f t="shared" ca="1" si="413"/>
        <v>36.641500000001585</v>
      </c>
      <c r="D933" s="306">
        <f t="shared" ca="1" si="414"/>
        <v>-0.50205530787539343</v>
      </c>
      <c r="E933" s="307">
        <f t="shared" ca="1" si="415"/>
        <v>-0.34031467821793981</v>
      </c>
      <c r="F933" s="304">
        <f t="shared" ca="1" si="416"/>
        <v>0.60652585466444542</v>
      </c>
      <c r="G933" s="306">
        <f t="shared" ca="1" si="417"/>
        <v>5.3248518839957422</v>
      </c>
      <c r="H933" s="307">
        <f t="shared" ca="1" si="418"/>
        <v>-100.43746864500876</v>
      </c>
      <c r="I933" s="304">
        <f t="shared" ca="1" si="419"/>
        <v>100.57852233654863</v>
      </c>
      <c r="J933" s="306">
        <f t="shared" ca="1" si="420"/>
        <v>711.72888807733182</v>
      </c>
      <c r="K933" s="307">
        <f t="shared" ca="1" si="421"/>
        <v>-12.609940325502086</v>
      </c>
      <c r="L933" s="304">
        <f t="shared" ca="1" si="406"/>
        <v>711.84058659141363</v>
      </c>
      <c r="M933" s="306">
        <f t="shared" ca="1" si="422"/>
        <v>-1.5178293275780053</v>
      </c>
      <c r="N933" s="304">
        <f t="shared" ca="1" si="423"/>
        <v>-86.965214491399394</v>
      </c>
      <c r="P933" s="310">
        <f t="shared" ca="1" si="424"/>
        <v>23</v>
      </c>
      <c r="Q933" s="304">
        <f t="shared" ca="1" si="425"/>
        <v>0</v>
      </c>
      <c r="R933" s="306">
        <f t="shared" ca="1" si="426"/>
        <v>0</v>
      </c>
      <c r="S933" s="307">
        <f t="shared" ca="1" si="427"/>
        <v>2.6792999999999987</v>
      </c>
      <c r="T933" s="304">
        <f t="shared" ca="1" si="407"/>
        <v>26.283932999999987</v>
      </c>
      <c r="U933" s="311">
        <f t="shared" ca="1" si="408"/>
        <v>0</v>
      </c>
      <c r="V933" s="306">
        <f t="shared" ca="1" si="409"/>
        <v>1.2265456922442222</v>
      </c>
      <c r="W933" s="304">
        <f t="shared" ca="1" si="410"/>
        <v>25.407802366202851</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0.31325721401200468</v>
      </c>
      <c r="AH933" s="304">
        <f t="shared" ca="1" si="434"/>
        <v>-9.4829847424605962</v>
      </c>
    </row>
    <row r="934" spans="1:34" x14ac:dyDescent="0.2">
      <c r="A934" s="347">
        <f t="shared" ca="1" si="412"/>
        <v>1E-4</v>
      </c>
      <c r="B934" s="304">
        <f t="shared" ca="1" si="413"/>
        <v>36.641600000001588</v>
      </c>
      <c r="D934" s="306">
        <f t="shared" ca="1" si="414"/>
        <v>-0.50205123488989523</v>
      </c>
      <c r="E934" s="307">
        <f t="shared" ca="1" si="415"/>
        <v>-0.34029900906778465</v>
      </c>
      <c r="F934" s="304">
        <f t="shared" ca="1" si="416"/>
        <v>0.60651369154124202</v>
      </c>
      <c r="G934" s="306">
        <f t="shared" ca="1" si="417"/>
        <v>5.3248016788722534</v>
      </c>
      <c r="H934" s="307">
        <f t="shared" ca="1" si="418"/>
        <v>-100.43750267490967</v>
      </c>
      <c r="I934" s="304">
        <f t="shared" ca="1" si="419"/>
        <v>100.5785536607671</v>
      </c>
      <c r="J934" s="306">
        <f t="shared" ca="1" si="420"/>
        <v>711.72888807733182</v>
      </c>
      <c r="K934" s="307">
        <f t="shared" ca="1" si="421"/>
        <v>-12.619984074068082</v>
      </c>
      <c r="L934" s="304">
        <f t="shared" ca="1" si="406"/>
        <v>711.84076458279969</v>
      </c>
      <c r="M934" s="306">
        <f t="shared" ca="1" si="422"/>
        <v>-1.5178298439538309</v>
      </c>
      <c r="N934" s="304">
        <f t="shared" ca="1" si="423"/>
        <v>-86.965244077554843</v>
      </c>
      <c r="P934" s="310">
        <f t="shared" ca="1" si="424"/>
        <v>23</v>
      </c>
      <c r="Q934" s="304">
        <f t="shared" ca="1" si="425"/>
        <v>0</v>
      </c>
      <c r="R934" s="306">
        <f t="shared" ca="1" si="426"/>
        <v>0</v>
      </c>
      <c r="S934" s="307">
        <f t="shared" ca="1" si="427"/>
        <v>2.6792999999999987</v>
      </c>
      <c r="T934" s="304">
        <f t="shared" ca="1" si="407"/>
        <v>26.283932999999987</v>
      </c>
      <c r="U934" s="311">
        <f t="shared" ca="1" si="408"/>
        <v>0</v>
      </c>
      <c r="V934" s="306">
        <f t="shared" ca="1" si="409"/>
        <v>1.2265469241569844</v>
      </c>
      <c r="W934" s="304">
        <f t="shared" ca="1" si="410"/>
        <v>25.407843711235927</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0.31324205066153255</v>
      </c>
      <c r="AH934" s="304">
        <f t="shared" ca="1" si="434"/>
        <v>-9.4830001740017416</v>
      </c>
    </row>
    <row r="935" spans="1:34" x14ac:dyDescent="0.2">
      <c r="A935" s="347">
        <f t="shared" ca="1" si="412"/>
        <v>1E-4</v>
      </c>
      <c r="B935" s="304">
        <f t="shared" ca="1" si="413"/>
        <v>36.641700000001592</v>
      </c>
      <c r="D935" s="306">
        <f t="shared" ca="1" si="414"/>
        <v>-0.50204716192376386</v>
      </c>
      <c r="E935" s="307">
        <f t="shared" ca="1" si="415"/>
        <v>-0.34028334018099216</v>
      </c>
      <c r="F935" s="304">
        <f t="shared" ca="1" si="416"/>
        <v>0.60650152877007557</v>
      </c>
      <c r="G935" s="306">
        <f t="shared" ca="1" si="417"/>
        <v>5.3247514741560611</v>
      </c>
      <c r="H935" s="307">
        <f t="shared" ca="1" si="418"/>
        <v>-100.43753670324368</v>
      </c>
      <c r="I935" s="304">
        <f t="shared" ca="1" si="419"/>
        <v>100.57858498346927</v>
      </c>
      <c r="J935" s="306">
        <f t="shared" ca="1" si="420"/>
        <v>711.72888807733182</v>
      </c>
      <c r="K935" s="307">
        <f t="shared" ca="1" si="421"/>
        <v>-12.63002782603699</v>
      </c>
      <c r="L935" s="304">
        <f t="shared" ca="1" si="406"/>
        <v>711.84094271591437</v>
      </c>
      <c r="M935" s="306">
        <f t="shared" ca="1" si="422"/>
        <v>-1.5178303603244663</v>
      </c>
      <c r="N935" s="304">
        <f t="shared" ca="1" si="423"/>
        <v>-86.965273663412916</v>
      </c>
      <c r="P935" s="310">
        <f t="shared" ca="1" si="424"/>
        <v>23</v>
      </c>
      <c r="Q935" s="304">
        <f t="shared" ca="1" si="425"/>
        <v>0</v>
      </c>
      <c r="R935" s="306">
        <f t="shared" ca="1" si="426"/>
        <v>0</v>
      </c>
      <c r="S935" s="307">
        <f t="shared" ca="1" si="427"/>
        <v>2.6792999999999987</v>
      </c>
      <c r="T935" s="304">
        <f t="shared" ca="1" si="407"/>
        <v>26.283932999999987</v>
      </c>
      <c r="U935" s="311">
        <f t="shared" ca="1" si="408"/>
        <v>0</v>
      </c>
      <c r="V935" s="306">
        <f t="shared" ca="1" si="409"/>
        <v>1.2265481560714029</v>
      </c>
      <c r="W935" s="304">
        <f t="shared" ca="1" si="410"/>
        <v>25.407885055573949</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0.3132268875651949</v>
      </c>
      <c r="AH935" s="304">
        <f t="shared" ca="1" si="434"/>
        <v>-9.4830156052834464</v>
      </c>
    </row>
    <row r="936" spans="1:34" x14ac:dyDescent="0.2">
      <c r="A936" s="347">
        <f t="shared" ca="1" si="412"/>
        <v>1E-4</v>
      </c>
      <c r="B936" s="304">
        <f t="shared" ca="1" si="413"/>
        <v>36.641800000001595</v>
      </c>
      <c r="D936" s="306">
        <f t="shared" ca="1" si="414"/>
        <v>-0.50204308897700112</v>
      </c>
      <c r="E936" s="307">
        <f t="shared" ca="1" si="415"/>
        <v>-0.34026767155753745</v>
      </c>
      <c r="F936" s="304">
        <f t="shared" ca="1" si="416"/>
        <v>0.60648936635093387</v>
      </c>
      <c r="G936" s="306">
        <f t="shared" ca="1" si="417"/>
        <v>5.3247012698471634</v>
      </c>
      <c r="H936" s="307">
        <f t="shared" ca="1" si="418"/>
        <v>-100.43757073001083</v>
      </c>
      <c r="I936" s="304">
        <f t="shared" ca="1" si="419"/>
        <v>100.57861630465514</v>
      </c>
      <c r="J936" s="306">
        <f t="shared" ca="1" si="420"/>
        <v>711.72888807733182</v>
      </c>
      <c r="K936" s="307">
        <f t="shared" ca="1" si="421"/>
        <v>-12.640071581408654</v>
      </c>
      <c r="L936" s="304">
        <f t="shared" ca="1" si="406"/>
        <v>711.84112099075753</v>
      </c>
      <c r="M936" s="306">
        <f t="shared" ca="1" si="422"/>
        <v>-1.5178308766899116</v>
      </c>
      <c r="N936" s="304">
        <f t="shared" ca="1" si="423"/>
        <v>-86.965303248973612</v>
      </c>
      <c r="P936" s="310">
        <f t="shared" ca="1" si="424"/>
        <v>23</v>
      </c>
      <c r="Q936" s="304">
        <f t="shared" ca="1" si="425"/>
        <v>0</v>
      </c>
      <c r="R936" s="306">
        <f t="shared" ca="1" si="426"/>
        <v>0</v>
      </c>
      <c r="S936" s="307">
        <f t="shared" ca="1" si="427"/>
        <v>2.6792999999999987</v>
      </c>
      <c r="T936" s="304">
        <f t="shared" ca="1" si="407"/>
        <v>26.283932999999987</v>
      </c>
      <c r="U936" s="311">
        <f t="shared" ca="1" si="408"/>
        <v>0</v>
      </c>
      <c r="V936" s="306">
        <f t="shared" ca="1" si="409"/>
        <v>1.226549387987476</v>
      </c>
      <c r="W936" s="304">
        <f t="shared" ca="1" si="410"/>
        <v>25.40792639921688</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0.31321172472295977</v>
      </c>
      <c r="AH936" s="304">
        <f t="shared" ca="1" si="434"/>
        <v>-9.4830310363057375</v>
      </c>
    </row>
    <row r="937" spans="1:34" x14ac:dyDescent="0.2">
      <c r="A937" s="347">
        <f t="shared" ca="1" si="412"/>
        <v>1E-4</v>
      </c>
      <c r="B937" s="304">
        <f t="shared" ca="1" si="413"/>
        <v>36.641900000001598</v>
      </c>
      <c r="D937" s="306">
        <f t="shared" ca="1" si="414"/>
        <v>-0.50203901604960488</v>
      </c>
      <c r="E937" s="307">
        <f t="shared" ca="1" si="415"/>
        <v>-0.34025200319743831</v>
      </c>
      <c r="F937" s="304">
        <f t="shared" ca="1" si="416"/>
        <v>0.60647720428382557</v>
      </c>
      <c r="G937" s="306">
        <f t="shared" ca="1" si="417"/>
        <v>5.3246510659455586</v>
      </c>
      <c r="H937" s="307">
        <f t="shared" ca="1" si="418"/>
        <v>-100.43760475521115</v>
      </c>
      <c r="I937" s="304">
        <f t="shared" ca="1" si="419"/>
        <v>100.57864762432476</v>
      </c>
      <c r="J937" s="306">
        <f t="shared" ca="1" si="420"/>
        <v>711.72888807733182</v>
      </c>
      <c r="K937" s="307">
        <f t="shared" ca="1" si="421"/>
        <v>-12.650115340182914</v>
      </c>
      <c r="L937" s="304">
        <f t="shared" ca="1" si="406"/>
        <v>711.8412994073293</v>
      </c>
      <c r="M937" s="306">
        <f t="shared" ca="1" si="422"/>
        <v>-1.5178313930501666</v>
      </c>
      <c r="N937" s="304">
        <f t="shared" ca="1" si="423"/>
        <v>-86.965332834236932</v>
      </c>
      <c r="P937" s="310">
        <f t="shared" ca="1" si="424"/>
        <v>23</v>
      </c>
      <c r="Q937" s="304">
        <f t="shared" ca="1" si="425"/>
        <v>0</v>
      </c>
      <c r="R937" s="306">
        <f t="shared" ca="1" si="426"/>
        <v>0</v>
      </c>
      <c r="S937" s="307">
        <f t="shared" ca="1" si="427"/>
        <v>2.6792999999999987</v>
      </c>
      <c r="T937" s="304">
        <f t="shared" ca="1" si="407"/>
        <v>26.283932999999987</v>
      </c>
      <c r="U937" s="311">
        <f t="shared" ca="1" si="408"/>
        <v>0</v>
      </c>
      <c r="V937" s="306">
        <f t="shared" ca="1" si="409"/>
        <v>1.226550619905205</v>
      </c>
      <c r="W937" s="304">
        <f t="shared" ca="1" si="410"/>
        <v>25.407967742164757</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0.31319656213485203</v>
      </c>
      <c r="AH937" s="304">
        <f t="shared" ca="1" si="434"/>
        <v>-9.483046467068597</v>
      </c>
    </row>
    <row r="938" spans="1:34" x14ac:dyDescent="0.2">
      <c r="A938" s="347">
        <f t="shared" ca="1" si="412"/>
        <v>1E-4</v>
      </c>
      <c r="B938" s="304">
        <f t="shared" ca="1" si="413"/>
        <v>36.642000000001602</v>
      </c>
      <c r="D938" s="306">
        <f t="shared" ca="1" si="414"/>
        <v>-0.5020349431415787</v>
      </c>
      <c r="E938" s="307">
        <f t="shared" ca="1" si="415"/>
        <v>-0.34023633510067697</v>
      </c>
      <c r="F938" s="304">
        <f t="shared" ca="1" si="416"/>
        <v>0.6064650425687439</v>
      </c>
      <c r="G938" s="306">
        <f t="shared" ca="1" si="417"/>
        <v>5.3246008624512449</v>
      </c>
      <c r="H938" s="307">
        <f t="shared" ca="1" si="418"/>
        <v>-100.43763877884466</v>
      </c>
      <c r="I938" s="304">
        <f t="shared" ca="1" si="419"/>
        <v>100.57867894247815</v>
      </c>
      <c r="J938" s="306">
        <f t="shared" ca="1" si="420"/>
        <v>711.72888807733182</v>
      </c>
      <c r="K938" s="307">
        <f t="shared" ca="1" si="421"/>
        <v>-12.660159102359618</v>
      </c>
      <c r="L938" s="304">
        <f t="shared" ca="1" si="406"/>
        <v>711.84147796562979</v>
      </c>
      <c r="M938" s="306">
        <f t="shared" ca="1" si="422"/>
        <v>-1.5178319094052317</v>
      </c>
      <c r="N938" s="304">
        <f t="shared" ca="1" si="423"/>
        <v>-86.965362419202904</v>
      </c>
      <c r="P938" s="310">
        <f t="shared" ca="1" si="424"/>
        <v>23</v>
      </c>
      <c r="Q938" s="304">
        <f t="shared" ca="1" si="425"/>
        <v>0</v>
      </c>
      <c r="R938" s="306">
        <f t="shared" ca="1" si="426"/>
        <v>0</v>
      </c>
      <c r="S938" s="307">
        <f t="shared" ca="1" si="427"/>
        <v>2.6792999999999987</v>
      </c>
      <c r="T938" s="304">
        <f t="shared" ca="1" si="407"/>
        <v>26.283932999999987</v>
      </c>
      <c r="U938" s="311">
        <f t="shared" ca="1" si="408"/>
        <v>0</v>
      </c>
      <c r="V938" s="306">
        <f t="shared" ca="1" si="409"/>
        <v>1.2265518518245893</v>
      </c>
      <c r="W938" s="304">
        <f t="shared" ca="1" si="410"/>
        <v>25.408009084417596</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0.31318139980085036</v>
      </c>
      <c r="AH938" s="304">
        <f t="shared" ca="1" si="434"/>
        <v>-9.4830618975720409</v>
      </c>
    </row>
    <row r="939" spans="1:34" x14ac:dyDescent="0.2">
      <c r="A939" s="347">
        <f t="shared" ca="1" si="412"/>
        <v>1E-4</v>
      </c>
      <c r="B939" s="304">
        <f t="shared" ca="1" si="413"/>
        <v>36.642100000001605</v>
      </c>
      <c r="D939" s="306">
        <f t="shared" ca="1" si="414"/>
        <v>-0.50203087025291915</v>
      </c>
      <c r="E939" s="307">
        <f t="shared" ca="1" si="415"/>
        <v>-0.34022066726724809</v>
      </c>
      <c r="F939" s="304">
        <f t="shared" ca="1" si="416"/>
        <v>0.60645288120568352</v>
      </c>
      <c r="G939" s="306">
        <f t="shared" ca="1" si="417"/>
        <v>5.3245506593642196</v>
      </c>
      <c r="H939" s="307">
        <f t="shared" ca="1" si="418"/>
        <v>-100.43767280091139</v>
      </c>
      <c r="I939" s="304">
        <f t="shared" ca="1" si="419"/>
        <v>100.57871025911533</v>
      </c>
      <c r="J939" s="306">
        <f t="shared" ca="1" si="420"/>
        <v>711.72888807733182</v>
      </c>
      <c r="K939" s="307">
        <f t="shared" ca="1" si="421"/>
        <v>-12.670202867938606</v>
      </c>
      <c r="L939" s="304">
        <f t="shared" ca="1" si="406"/>
        <v>711.84165666565889</v>
      </c>
      <c r="M939" s="306">
        <f t="shared" ca="1" si="422"/>
        <v>-1.5178324257551066</v>
      </c>
      <c r="N939" s="304">
        <f t="shared" ca="1" si="423"/>
        <v>-86.965392003871486</v>
      </c>
      <c r="P939" s="310">
        <f t="shared" ca="1" si="424"/>
        <v>23</v>
      </c>
      <c r="Q939" s="304">
        <f t="shared" ca="1" si="425"/>
        <v>0</v>
      </c>
      <c r="R939" s="306">
        <f t="shared" ca="1" si="426"/>
        <v>0</v>
      </c>
      <c r="S939" s="307">
        <f t="shared" ca="1" si="427"/>
        <v>2.6792999999999987</v>
      </c>
      <c r="T939" s="304">
        <f t="shared" ca="1" si="407"/>
        <v>26.283932999999987</v>
      </c>
      <c r="U939" s="311">
        <f t="shared" ca="1" si="408"/>
        <v>0</v>
      </c>
      <c r="V939" s="306">
        <f t="shared" ca="1" si="409"/>
        <v>1.2265530837456291</v>
      </c>
      <c r="W939" s="304">
        <f t="shared" ca="1" si="410"/>
        <v>25.408050425975386</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0.31316623772095298</v>
      </c>
      <c r="AH939" s="304">
        <f t="shared" ca="1" si="434"/>
        <v>-9.4830773278160745</v>
      </c>
    </row>
    <row r="940" spans="1:34" x14ac:dyDescent="0.2">
      <c r="A940" s="347">
        <f t="shared" ca="1" si="412"/>
        <v>1E-4</v>
      </c>
      <c r="B940" s="304">
        <f t="shared" ca="1" si="413"/>
        <v>36.642200000001608</v>
      </c>
      <c r="D940" s="306">
        <f t="shared" ca="1" si="414"/>
        <v>-0.5020267973836311</v>
      </c>
      <c r="E940" s="307">
        <f t="shared" ca="1" si="415"/>
        <v>-0.34020499969715878</v>
      </c>
      <c r="F940" s="304">
        <f t="shared" ca="1" si="416"/>
        <v>0.60644072019465278</v>
      </c>
      <c r="G940" s="306">
        <f t="shared" ca="1" si="417"/>
        <v>5.3245004566844809</v>
      </c>
      <c r="H940" s="307">
        <f t="shared" ca="1" si="418"/>
        <v>-100.43770682141135</v>
      </c>
      <c r="I940" s="304">
        <f t="shared" ca="1" si="419"/>
        <v>100.57874157423633</v>
      </c>
      <c r="J940" s="306">
        <f t="shared" ca="1" si="420"/>
        <v>711.72888807733182</v>
      </c>
      <c r="K940" s="307">
        <f t="shared" ca="1" si="421"/>
        <v>-12.680246636919723</v>
      </c>
      <c r="L940" s="304">
        <f t="shared" ca="1" si="406"/>
        <v>711.84183550741682</v>
      </c>
      <c r="M940" s="306">
        <f t="shared" ca="1" si="422"/>
        <v>-1.5178329420997918</v>
      </c>
      <c r="N940" s="304">
        <f t="shared" ca="1" si="423"/>
        <v>-86.96542158824272</v>
      </c>
      <c r="P940" s="310">
        <f t="shared" ca="1" si="424"/>
        <v>23</v>
      </c>
      <c r="Q940" s="304">
        <f t="shared" ca="1" si="425"/>
        <v>0</v>
      </c>
      <c r="R940" s="306">
        <f t="shared" ca="1" si="426"/>
        <v>0</v>
      </c>
      <c r="S940" s="307">
        <f t="shared" ca="1" si="427"/>
        <v>2.6792999999999987</v>
      </c>
      <c r="T940" s="304">
        <f t="shared" ca="1" si="407"/>
        <v>26.283932999999987</v>
      </c>
      <c r="U940" s="311">
        <f t="shared" ca="1" si="408"/>
        <v>0</v>
      </c>
      <c r="V940" s="306">
        <f t="shared" ca="1" si="409"/>
        <v>1.2265543156683241</v>
      </c>
      <c r="W940" s="304">
        <f t="shared" ca="1" si="410"/>
        <v>25.408091766838137</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0.31315107589516167</v>
      </c>
      <c r="AH940" s="304">
        <f t="shared" ca="1" si="434"/>
        <v>-9.4830927578006943</v>
      </c>
    </row>
    <row r="941" spans="1:34" x14ac:dyDescent="0.2">
      <c r="A941" s="347">
        <f t="shared" ca="1" si="412"/>
        <v>1E-4</v>
      </c>
      <c r="B941" s="304">
        <f t="shared" ca="1" si="413"/>
        <v>36.642300000001612</v>
      </c>
      <c r="D941" s="306">
        <f t="shared" ca="1" si="414"/>
        <v>-0.50202272453370878</v>
      </c>
      <c r="E941" s="307">
        <f t="shared" ca="1" si="415"/>
        <v>-0.34018933239040194</v>
      </c>
      <c r="F941" s="304">
        <f t="shared" ca="1" si="416"/>
        <v>0.60642855953564345</v>
      </c>
      <c r="G941" s="306">
        <f t="shared" ca="1" si="417"/>
        <v>5.3244502544120271</v>
      </c>
      <c r="H941" s="307">
        <f t="shared" ca="1" si="418"/>
        <v>-100.43774084034459</v>
      </c>
      <c r="I941" s="304">
        <f t="shared" ca="1" si="419"/>
        <v>100.57877288784115</v>
      </c>
      <c r="J941" s="306">
        <f t="shared" ca="1" si="420"/>
        <v>711.72888807733182</v>
      </c>
      <c r="K941" s="307">
        <f t="shared" ca="1" si="421"/>
        <v>-12.690290409302811</v>
      </c>
      <c r="L941" s="304">
        <f t="shared" ca="1" si="406"/>
        <v>711.84201449090347</v>
      </c>
      <c r="M941" s="306">
        <f t="shared" ca="1" si="422"/>
        <v>-1.517833458439287</v>
      </c>
      <c r="N941" s="304">
        <f t="shared" ca="1" si="423"/>
        <v>-86.965451172316591</v>
      </c>
      <c r="P941" s="310">
        <f t="shared" ca="1" si="424"/>
        <v>23</v>
      </c>
      <c r="Q941" s="304">
        <f t="shared" ca="1" si="425"/>
        <v>0</v>
      </c>
      <c r="R941" s="306">
        <f t="shared" ca="1" si="426"/>
        <v>0</v>
      </c>
      <c r="S941" s="307">
        <f t="shared" ca="1" si="427"/>
        <v>2.6792999999999987</v>
      </c>
      <c r="T941" s="304">
        <f t="shared" ca="1" si="407"/>
        <v>26.283932999999987</v>
      </c>
      <c r="U941" s="311">
        <f t="shared" ca="1" si="408"/>
        <v>0</v>
      </c>
      <c r="V941" s="306">
        <f t="shared" ca="1" si="409"/>
        <v>1.2265555475926746</v>
      </c>
      <c r="W941" s="304">
        <f t="shared" ca="1" si="410"/>
        <v>25.408133107005863</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0.31313591432347643</v>
      </c>
      <c r="AH941" s="304">
        <f t="shared" ca="1" si="434"/>
        <v>-9.483108187525902</v>
      </c>
    </row>
    <row r="942" spans="1:34" x14ac:dyDescent="0.2">
      <c r="A942" s="347">
        <f t="shared" ca="1" si="412"/>
        <v>1E-4</v>
      </c>
      <c r="B942" s="304">
        <f t="shared" ca="1" si="413"/>
        <v>36.642400000001615</v>
      </c>
      <c r="D942" s="306">
        <f t="shared" ca="1" si="414"/>
        <v>-0.50201865170315751</v>
      </c>
      <c r="E942" s="307">
        <f t="shared" ca="1" si="415"/>
        <v>-0.34017366534697402</v>
      </c>
      <c r="F942" s="304">
        <f t="shared" ca="1" si="416"/>
        <v>0.60641639922865809</v>
      </c>
      <c r="G942" s="306">
        <f t="shared" ca="1" si="417"/>
        <v>5.3244000525468564</v>
      </c>
      <c r="H942" s="307">
        <f t="shared" ca="1" si="418"/>
        <v>-100.43777485771112</v>
      </c>
      <c r="I942" s="304">
        <f t="shared" ca="1" si="419"/>
        <v>100.57880419992986</v>
      </c>
      <c r="J942" s="306">
        <f t="shared" ca="1" si="420"/>
        <v>711.72888807733182</v>
      </c>
      <c r="K942" s="307">
        <f t="shared" ca="1" si="421"/>
        <v>-12.700334185087714</v>
      </c>
      <c r="L942" s="304">
        <f t="shared" ca="1" si="406"/>
        <v>711.84219361611883</v>
      </c>
      <c r="M942" s="306">
        <f t="shared" ca="1" si="422"/>
        <v>-1.5178339747735923</v>
      </c>
      <c r="N942" s="304">
        <f t="shared" ca="1" si="423"/>
        <v>-86.9654807560931</v>
      </c>
      <c r="P942" s="310">
        <f t="shared" ca="1" si="424"/>
        <v>23</v>
      </c>
      <c r="Q942" s="304">
        <f t="shared" ca="1" si="425"/>
        <v>0</v>
      </c>
      <c r="R942" s="306">
        <f t="shared" ca="1" si="426"/>
        <v>0</v>
      </c>
      <c r="S942" s="307">
        <f t="shared" ca="1" si="427"/>
        <v>2.6792999999999987</v>
      </c>
      <c r="T942" s="304">
        <f t="shared" ca="1" si="407"/>
        <v>26.283932999999987</v>
      </c>
      <c r="U942" s="311">
        <f t="shared" ca="1" si="408"/>
        <v>0</v>
      </c>
      <c r="V942" s="306">
        <f t="shared" ca="1" si="409"/>
        <v>1.2265567795186803</v>
      </c>
      <c r="W942" s="304">
        <f t="shared" ca="1" si="410"/>
        <v>25.408174446478579</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0.31312075300588837</v>
      </c>
      <c r="AH942" s="304">
        <f t="shared" ca="1" si="434"/>
        <v>-9.4831236169917048</v>
      </c>
    </row>
    <row r="943" spans="1:34" x14ac:dyDescent="0.2">
      <c r="A943" s="347">
        <f t="shared" ca="1" si="412"/>
        <v>1E-4</v>
      </c>
      <c r="B943" s="304">
        <f t="shared" ca="1" si="413"/>
        <v>36.642500000001618</v>
      </c>
      <c r="D943" s="306">
        <f t="shared" ca="1" si="414"/>
        <v>-0.50201457889197609</v>
      </c>
      <c r="E943" s="307">
        <f t="shared" ca="1" si="415"/>
        <v>-0.3401579985668679</v>
      </c>
      <c r="F943" s="304">
        <f t="shared" ca="1" si="416"/>
        <v>0.60640423927369225</v>
      </c>
      <c r="G943" s="306">
        <f t="shared" ca="1" si="417"/>
        <v>5.3243498510889671</v>
      </c>
      <c r="H943" s="307">
        <f t="shared" ca="1" si="418"/>
        <v>-100.43780887351097</v>
      </c>
      <c r="I943" s="304">
        <f t="shared" ca="1" si="419"/>
        <v>100.57883551050246</v>
      </c>
      <c r="J943" s="306">
        <f t="shared" ca="1" si="420"/>
        <v>711.72888807733182</v>
      </c>
      <c r="K943" s="307">
        <f t="shared" ca="1" si="421"/>
        <v>-12.710377964274276</v>
      </c>
      <c r="L943" s="304">
        <f t="shared" ca="1" si="406"/>
        <v>711.84237288306304</v>
      </c>
      <c r="M943" s="306">
        <f t="shared" ca="1" si="422"/>
        <v>-1.5178344911027077</v>
      </c>
      <c r="N943" s="304">
        <f t="shared" ca="1" si="423"/>
        <v>-86.965510339572262</v>
      </c>
      <c r="P943" s="310">
        <f t="shared" ca="1" si="424"/>
        <v>23</v>
      </c>
      <c r="Q943" s="304">
        <f t="shared" ca="1" si="425"/>
        <v>0</v>
      </c>
      <c r="R943" s="306">
        <f t="shared" ca="1" si="426"/>
        <v>0</v>
      </c>
      <c r="S943" s="307">
        <f t="shared" ca="1" si="427"/>
        <v>2.6792999999999987</v>
      </c>
      <c r="T943" s="304">
        <f t="shared" ca="1" si="407"/>
        <v>26.283932999999987</v>
      </c>
      <c r="U943" s="311">
        <f t="shared" ca="1" si="408"/>
        <v>0</v>
      </c>
      <c r="V943" s="306">
        <f t="shared" ca="1" si="409"/>
        <v>1.2265580114463415</v>
      </c>
      <c r="W943" s="304">
        <f t="shared" ca="1" si="410"/>
        <v>25.408215785256296</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0.31310559194239218</v>
      </c>
      <c r="AH943" s="304">
        <f t="shared" ca="1" si="434"/>
        <v>-9.483139046198108</v>
      </c>
    </row>
    <row r="944" spans="1:34" x14ac:dyDescent="0.2">
      <c r="A944" s="347">
        <f t="shared" ca="1" si="412"/>
        <v>1E-4</v>
      </c>
      <c r="B944" s="304">
        <f t="shared" ca="1" si="413"/>
        <v>36.642600000001622</v>
      </c>
      <c r="D944" s="306">
        <f t="shared" ca="1" si="414"/>
        <v>-0.5020105061001654</v>
      </c>
      <c r="E944" s="307">
        <f t="shared" ca="1" si="415"/>
        <v>-0.34014233205008182</v>
      </c>
      <c r="F944" s="304">
        <f t="shared" ca="1" si="416"/>
        <v>0.60639207967074593</v>
      </c>
      <c r="G944" s="306">
        <f t="shared" ca="1" si="417"/>
        <v>5.3242996500383573</v>
      </c>
      <c r="H944" s="307">
        <f t="shared" ca="1" si="418"/>
        <v>-100.43784288774418</v>
      </c>
      <c r="I944" s="304">
        <f t="shared" ca="1" si="419"/>
        <v>100.57886681955898</v>
      </c>
      <c r="J944" s="306">
        <f t="shared" ca="1" si="420"/>
        <v>711.72888807733182</v>
      </c>
      <c r="K944" s="307">
        <f t="shared" ca="1" si="421"/>
        <v>-12.720421746862339</v>
      </c>
      <c r="L944" s="304">
        <f t="shared" ca="1" si="406"/>
        <v>711.84255229173618</v>
      </c>
      <c r="M944" s="306">
        <f t="shared" ca="1" si="422"/>
        <v>-1.5178350074266336</v>
      </c>
      <c r="N944" s="304">
        <f t="shared" ca="1" si="423"/>
        <v>-86.965539922754061</v>
      </c>
      <c r="P944" s="310">
        <f t="shared" ca="1" si="424"/>
        <v>23</v>
      </c>
      <c r="Q944" s="304">
        <f t="shared" ca="1" si="425"/>
        <v>0</v>
      </c>
      <c r="R944" s="306">
        <f t="shared" ca="1" si="426"/>
        <v>0</v>
      </c>
      <c r="S944" s="307">
        <f t="shared" ca="1" si="427"/>
        <v>2.6792999999999987</v>
      </c>
      <c r="T944" s="304">
        <f t="shared" ca="1" si="407"/>
        <v>26.283932999999987</v>
      </c>
      <c r="U944" s="311">
        <f t="shared" ca="1" si="408"/>
        <v>0</v>
      </c>
      <c r="V944" s="306">
        <f t="shared" ca="1" si="409"/>
        <v>1.2265592433756576</v>
      </c>
      <c r="W944" s="304">
        <f t="shared" ca="1" si="410"/>
        <v>25.408257123339016</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0.31309043113298429</v>
      </c>
      <c r="AH944" s="304">
        <f t="shared" ca="1" si="434"/>
        <v>-9.4831544751451151</v>
      </c>
    </row>
    <row r="945" spans="1:34" x14ac:dyDescent="0.2">
      <c r="A945" s="347">
        <f t="shared" ca="1" si="412"/>
        <v>1E-4</v>
      </c>
      <c r="B945" s="304">
        <f t="shared" ca="1" si="413"/>
        <v>36.642700000001625</v>
      </c>
      <c r="D945" s="306">
        <f t="shared" ca="1" si="414"/>
        <v>-0.5020064333277241</v>
      </c>
      <c r="E945" s="307">
        <f t="shared" ca="1" si="415"/>
        <v>-0.34012666579661222</v>
      </c>
      <c r="F945" s="304">
        <f t="shared" ca="1" si="416"/>
        <v>0.60637992041981648</v>
      </c>
      <c r="G945" s="306">
        <f t="shared" ca="1" si="417"/>
        <v>5.3242494493950243</v>
      </c>
      <c r="H945" s="307">
        <f t="shared" ca="1" si="418"/>
        <v>-100.43787690041076</v>
      </c>
      <c r="I945" s="304">
        <f t="shared" ca="1" si="419"/>
        <v>100.57889812709945</v>
      </c>
      <c r="J945" s="306">
        <f t="shared" ca="1" si="420"/>
        <v>711.72888807733182</v>
      </c>
      <c r="K945" s="307">
        <f t="shared" ca="1" si="421"/>
        <v>-12.730465532851747</v>
      </c>
      <c r="L945" s="304">
        <f t="shared" ca="1" si="406"/>
        <v>711.84273184213816</v>
      </c>
      <c r="M945" s="306">
        <f t="shared" ca="1" si="422"/>
        <v>-1.51783552374537</v>
      </c>
      <c r="N945" s="304">
        <f t="shared" ca="1" si="423"/>
        <v>-86.965569505638555</v>
      </c>
      <c r="P945" s="310">
        <f t="shared" ca="1" si="424"/>
        <v>23</v>
      </c>
      <c r="Q945" s="304">
        <f t="shared" ca="1" si="425"/>
        <v>0</v>
      </c>
      <c r="R945" s="306">
        <f t="shared" ca="1" si="426"/>
        <v>0</v>
      </c>
      <c r="S945" s="307">
        <f t="shared" ca="1" si="427"/>
        <v>2.6792999999999987</v>
      </c>
      <c r="T945" s="304">
        <f t="shared" ca="1" si="407"/>
        <v>26.283932999999987</v>
      </c>
      <c r="U945" s="311">
        <f t="shared" ca="1" si="408"/>
        <v>0</v>
      </c>
      <c r="V945" s="306">
        <f t="shared" ca="1" si="409"/>
        <v>1.2265604753066297</v>
      </c>
      <c r="W945" s="304">
        <f t="shared" ca="1" si="410"/>
        <v>25.408298460726762</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0.31307527057766649</v>
      </c>
      <c r="AH945" s="304">
        <f t="shared" ca="1" si="434"/>
        <v>-9.483169903832728</v>
      </c>
    </row>
    <row r="946" spans="1:34" x14ac:dyDescent="0.2">
      <c r="A946" s="347">
        <f t="shared" ca="1" si="412"/>
        <v>1E-4</v>
      </c>
      <c r="B946" s="304">
        <f t="shared" ca="1" si="413"/>
        <v>36.642800000001628</v>
      </c>
      <c r="D946" s="306">
        <f t="shared" ca="1" si="414"/>
        <v>-0.50200236057465086</v>
      </c>
      <c r="E946" s="307">
        <f t="shared" ca="1" si="415"/>
        <v>-0.34011099980645199</v>
      </c>
      <c r="F946" s="304">
        <f t="shared" ca="1" si="416"/>
        <v>0.60636776152089922</v>
      </c>
      <c r="G946" s="306">
        <f t="shared" ca="1" si="417"/>
        <v>5.3241992491589665</v>
      </c>
      <c r="H946" s="307">
        <f t="shared" ca="1" si="418"/>
        <v>-100.43791091151074</v>
      </c>
      <c r="I946" s="304">
        <f t="shared" ca="1" si="419"/>
        <v>100.57892943312388</v>
      </c>
      <c r="J946" s="306">
        <f t="shared" ca="1" si="420"/>
        <v>711.72888807733182</v>
      </c>
      <c r="K946" s="307">
        <f t="shared" ca="1" si="421"/>
        <v>-12.740509322242344</v>
      </c>
      <c r="L946" s="304">
        <f t="shared" ca="1" si="406"/>
        <v>711.84291153426909</v>
      </c>
      <c r="M946" s="306">
        <f t="shared" ca="1" si="422"/>
        <v>-1.5178360400589166</v>
      </c>
      <c r="N946" s="304">
        <f t="shared" ca="1" si="423"/>
        <v>-86.965599088225673</v>
      </c>
      <c r="P946" s="310">
        <f t="shared" ca="1" si="424"/>
        <v>23</v>
      </c>
      <c r="Q946" s="304">
        <f t="shared" ca="1" si="425"/>
        <v>0</v>
      </c>
      <c r="R946" s="306">
        <f t="shared" ca="1" si="426"/>
        <v>0</v>
      </c>
      <c r="S946" s="307">
        <f t="shared" ca="1" si="427"/>
        <v>2.6792999999999987</v>
      </c>
      <c r="T946" s="304">
        <f t="shared" ca="1" si="407"/>
        <v>26.283932999999987</v>
      </c>
      <c r="U946" s="311">
        <f t="shared" ca="1" si="408"/>
        <v>0</v>
      </c>
      <c r="V946" s="306">
        <f t="shared" ca="1" si="409"/>
        <v>1.2265617072392567</v>
      </c>
      <c r="W946" s="304">
        <f t="shared" ca="1" si="410"/>
        <v>25.408339797419526</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0.31306011027642811</v>
      </c>
      <c r="AH946" s="304">
        <f t="shared" ca="1" si="434"/>
        <v>-9.4831853322609536</v>
      </c>
    </row>
    <row r="947" spans="1:34" x14ac:dyDescent="0.2">
      <c r="A947" s="347">
        <f t="shared" ca="1" si="412"/>
        <v>1E-4</v>
      </c>
      <c r="B947" s="304">
        <f t="shared" ca="1" si="413"/>
        <v>36.642900000001632</v>
      </c>
      <c r="D947" s="306">
        <f t="shared" ca="1" si="414"/>
        <v>-0.50199828784095091</v>
      </c>
      <c r="E947" s="307">
        <f t="shared" ca="1" si="415"/>
        <v>-0.34009533407960291</v>
      </c>
      <c r="F947" s="304">
        <f t="shared" ca="1" si="416"/>
        <v>0.60635560297399982</v>
      </c>
      <c r="G947" s="306">
        <f t="shared" ca="1" si="417"/>
        <v>5.324149049330182</v>
      </c>
      <c r="H947" s="307">
        <f t="shared" ca="1" si="418"/>
        <v>-100.43794492104415</v>
      </c>
      <c r="I947" s="304">
        <f t="shared" ca="1" si="419"/>
        <v>100.57896073763231</v>
      </c>
      <c r="J947" s="306">
        <f t="shared" ca="1" si="420"/>
        <v>711.72888807733182</v>
      </c>
      <c r="K947" s="307">
        <f t="shared" ca="1" si="421"/>
        <v>-12.750553115033972</v>
      </c>
      <c r="L947" s="304">
        <f t="shared" ca="1" si="406"/>
        <v>711.84309136812897</v>
      </c>
      <c r="M947" s="306">
        <f t="shared" ca="1" si="422"/>
        <v>-1.5178365563672738</v>
      </c>
      <c r="N947" s="304">
        <f t="shared" ca="1" si="423"/>
        <v>-86.965628670515471</v>
      </c>
      <c r="P947" s="310">
        <f t="shared" ca="1" si="424"/>
        <v>23</v>
      </c>
      <c r="Q947" s="304">
        <f t="shared" ca="1" si="425"/>
        <v>0</v>
      </c>
      <c r="R947" s="306">
        <f t="shared" ca="1" si="426"/>
        <v>0</v>
      </c>
      <c r="S947" s="307">
        <f t="shared" ca="1" si="427"/>
        <v>2.6792999999999987</v>
      </c>
      <c r="T947" s="304">
        <f t="shared" ca="1" si="407"/>
        <v>26.283932999999987</v>
      </c>
      <c r="U947" s="311">
        <f t="shared" ca="1" si="408"/>
        <v>0</v>
      </c>
      <c r="V947" s="306">
        <f t="shared" ca="1" si="409"/>
        <v>1.2265629391735391</v>
      </c>
      <c r="W947" s="304">
        <f t="shared" ca="1" si="410"/>
        <v>25.408381133417333</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0.3130449502292727</v>
      </c>
      <c r="AH947" s="304">
        <f t="shared" ca="1" si="434"/>
        <v>-9.4832007604297903</v>
      </c>
    </row>
    <row r="948" spans="1:34" x14ac:dyDescent="0.2">
      <c r="A948" s="347">
        <f t="shared" ca="1" si="412"/>
        <v>1E-4</v>
      </c>
      <c r="B948" s="304">
        <f t="shared" ca="1" si="413"/>
        <v>36.643000000001635</v>
      </c>
      <c r="D948" s="306">
        <f t="shared" ca="1" si="414"/>
        <v>-0.50199421512662068</v>
      </c>
      <c r="E948" s="307">
        <f t="shared" ca="1" si="415"/>
        <v>-0.34007966861605787</v>
      </c>
      <c r="F948" s="304">
        <f t="shared" ca="1" si="416"/>
        <v>0.60634344477911173</v>
      </c>
      <c r="G948" s="306">
        <f t="shared" ca="1" si="417"/>
        <v>5.324098849908669</v>
      </c>
      <c r="H948" s="307">
        <f t="shared" ca="1" si="418"/>
        <v>-100.43797892901101</v>
      </c>
      <c r="I948" s="304">
        <f t="shared" ca="1" si="419"/>
        <v>100.57899204062477</v>
      </c>
      <c r="J948" s="306">
        <f t="shared" ca="1" si="420"/>
        <v>711.72888807733182</v>
      </c>
      <c r="K948" s="307">
        <f t="shared" ca="1" si="421"/>
        <v>-12.760596911226475</v>
      </c>
      <c r="L948" s="304">
        <f t="shared" ca="1" si="406"/>
        <v>711.8432713437179</v>
      </c>
      <c r="M948" s="306">
        <f t="shared" ca="1" si="422"/>
        <v>-1.5178370726704413</v>
      </c>
      <c r="N948" s="304">
        <f t="shared" ca="1" si="423"/>
        <v>-86.965658252507922</v>
      </c>
      <c r="P948" s="310">
        <f t="shared" ca="1" si="424"/>
        <v>23</v>
      </c>
      <c r="Q948" s="304">
        <f t="shared" ca="1" si="425"/>
        <v>0</v>
      </c>
      <c r="R948" s="306">
        <f t="shared" ca="1" si="426"/>
        <v>0</v>
      </c>
      <c r="S948" s="307">
        <f t="shared" ca="1" si="427"/>
        <v>2.6792999999999987</v>
      </c>
      <c r="T948" s="304">
        <f t="shared" ca="1" si="407"/>
        <v>26.283932999999987</v>
      </c>
      <c r="U948" s="311">
        <f t="shared" ca="1" si="408"/>
        <v>0</v>
      </c>
      <c r="V948" s="306">
        <f t="shared" ca="1" si="409"/>
        <v>1.2265641711094768</v>
      </c>
      <c r="W948" s="304">
        <f t="shared" ca="1" si="410"/>
        <v>25.408422468720183</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0.31302979043619139</v>
      </c>
      <c r="AH948" s="304">
        <f t="shared" ca="1" si="434"/>
        <v>-9.483216188339247</v>
      </c>
    </row>
    <row r="949" spans="1:34" x14ac:dyDescent="0.2">
      <c r="A949" s="347">
        <f t="shared" ca="1" si="412"/>
        <v>1E-4</v>
      </c>
      <c r="B949" s="304">
        <f t="shared" ca="1" si="413"/>
        <v>36.643100000001638</v>
      </c>
      <c r="D949" s="306">
        <f t="shared" ca="1" si="414"/>
        <v>-0.50199014243166329</v>
      </c>
      <c r="E949" s="307">
        <f t="shared" ca="1" si="415"/>
        <v>-0.34006400341581511</v>
      </c>
      <c r="F949" s="304">
        <f t="shared" ca="1" si="416"/>
        <v>0.60633128693623672</v>
      </c>
      <c r="G949" s="306">
        <f t="shared" ca="1" si="417"/>
        <v>5.3240486508944258</v>
      </c>
      <c r="H949" s="307">
        <f t="shared" ca="1" si="418"/>
        <v>-100.43801293541135</v>
      </c>
      <c r="I949" s="304">
        <f t="shared" ca="1" si="419"/>
        <v>100.57902334210125</v>
      </c>
      <c r="J949" s="306">
        <f t="shared" ca="1" si="420"/>
        <v>711.72888807733182</v>
      </c>
      <c r="K949" s="307">
        <f t="shared" ca="1" si="421"/>
        <v>-12.770640710819697</v>
      </c>
      <c r="L949" s="304">
        <f t="shared" ca="1" si="406"/>
        <v>711.84345146103578</v>
      </c>
      <c r="M949" s="306">
        <f t="shared" ca="1" si="422"/>
        <v>-1.5178375889684197</v>
      </c>
      <c r="N949" s="304">
        <f t="shared" ca="1" si="423"/>
        <v>-86.965687834203052</v>
      </c>
      <c r="P949" s="310">
        <f t="shared" ca="1" si="424"/>
        <v>23</v>
      </c>
      <c r="Q949" s="304">
        <f t="shared" ca="1" si="425"/>
        <v>0</v>
      </c>
      <c r="R949" s="306">
        <f t="shared" ca="1" si="426"/>
        <v>0</v>
      </c>
      <c r="S949" s="307">
        <f t="shared" ca="1" si="427"/>
        <v>2.6792999999999987</v>
      </c>
      <c r="T949" s="304">
        <f t="shared" ca="1" si="407"/>
        <v>26.283932999999987</v>
      </c>
      <c r="U949" s="311">
        <f t="shared" ca="1" si="408"/>
        <v>0</v>
      </c>
      <c r="V949" s="306">
        <f t="shared" ca="1" si="409"/>
        <v>1.2265654030470696</v>
      </c>
      <c r="W949" s="304">
        <f t="shared" ca="1" si="410"/>
        <v>25.408463803328079</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0.3130146308971824</v>
      </c>
      <c r="AH949" s="304">
        <f t="shared" ca="1" si="434"/>
        <v>-9.4832316159893235</v>
      </c>
    </row>
    <row r="950" spans="1:34" x14ac:dyDescent="0.2">
      <c r="A950" s="347">
        <f t="shared" ca="1" si="412"/>
        <v>1E-4</v>
      </c>
      <c r="B950" s="304">
        <f t="shared" ca="1" si="413"/>
        <v>36.643200000001642</v>
      </c>
      <c r="D950" s="306">
        <f t="shared" ca="1" si="414"/>
        <v>-0.50198606975607496</v>
      </c>
      <c r="E950" s="307">
        <f t="shared" ca="1" si="415"/>
        <v>-0.34004833847887284</v>
      </c>
      <c r="F950" s="304">
        <f t="shared" ca="1" si="416"/>
        <v>0.60631912944537136</v>
      </c>
      <c r="G950" s="306">
        <f t="shared" ca="1" si="417"/>
        <v>5.3239984522874506</v>
      </c>
      <c r="H950" s="307">
        <f t="shared" ca="1" si="418"/>
        <v>-100.4380469402452</v>
      </c>
      <c r="I950" s="304">
        <f t="shared" ca="1" si="419"/>
        <v>100.57905464206182</v>
      </c>
      <c r="J950" s="306">
        <f t="shared" ca="1" si="420"/>
        <v>711.72888807733182</v>
      </c>
      <c r="K950" s="307">
        <f t="shared" ca="1" si="421"/>
        <v>-12.78068451381348</v>
      </c>
      <c r="L950" s="304">
        <f t="shared" ca="1" si="406"/>
        <v>711.84363172008273</v>
      </c>
      <c r="M950" s="306">
        <f t="shared" ca="1" si="422"/>
        <v>-1.5178381052612087</v>
      </c>
      <c r="N950" s="304">
        <f t="shared" ca="1" si="423"/>
        <v>-86.965717415600849</v>
      </c>
      <c r="P950" s="310">
        <f t="shared" ca="1" si="424"/>
        <v>23</v>
      </c>
      <c r="Q950" s="304">
        <f t="shared" ca="1" si="425"/>
        <v>0</v>
      </c>
      <c r="R950" s="306">
        <f t="shared" ca="1" si="426"/>
        <v>0</v>
      </c>
      <c r="S950" s="307">
        <f t="shared" ca="1" si="427"/>
        <v>2.6792999999999987</v>
      </c>
      <c r="T950" s="304">
        <f t="shared" ca="1" si="407"/>
        <v>26.283932999999987</v>
      </c>
      <c r="U950" s="311">
        <f t="shared" ca="1" si="408"/>
        <v>0</v>
      </c>
      <c r="V950" s="306">
        <f t="shared" ca="1" si="409"/>
        <v>1.2265666349863178</v>
      </c>
      <c r="W950" s="304">
        <f t="shared" ca="1" si="410"/>
        <v>25.408505137241043</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0.31299947161224573</v>
      </c>
      <c r="AH950" s="304">
        <f t="shared" ca="1" si="434"/>
        <v>-9.4832470433800218</v>
      </c>
    </row>
    <row r="951" spans="1:34" x14ac:dyDescent="0.2">
      <c r="A951" s="347">
        <f t="shared" ca="1" si="412"/>
        <v>1E-4</v>
      </c>
      <c r="B951" s="304">
        <f t="shared" ca="1" si="413"/>
        <v>36.643300000001645</v>
      </c>
      <c r="D951" s="306">
        <f t="shared" ca="1" si="414"/>
        <v>-0.50198199709985902</v>
      </c>
      <c r="E951" s="307">
        <f t="shared" ca="1" si="415"/>
        <v>-0.34003267380522395</v>
      </c>
      <c r="F951" s="304">
        <f t="shared" ca="1" si="416"/>
        <v>0.60630697230651465</v>
      </c>
      <c r="G951" s="306">
        <f t="shared" ca="1" si="417"/>
        <v>5.3239482540877408</v>
      </c>
      <c r="H951" s="307">
        <f t="shared" ca="1" si="418"/>
        <v>-100.43808094351259</v>
      </c>
      <c r="I951" s="304">
        <f t="shared" ca="1" si="419"/>
        <v>100.5790859405065</v>
      </c>
      <c r="J951" s="306">
        <f t="shared" ca="1" si="420"/>
        <v>711.72888807733182</v>
      </c>
      <c r="K951" s="307">
        <f t="shared" ca="1" si="421"/>
        <v>-12.790728320207668</v>
      </c>
      <c r="L951" s="304">
        <f t="shared" ca="1" si="406"/>
        <v>711.84381212085873</v>
      </c>
      <c r="M951" s="306">
        <f t="shared" ca="1" si="422"/>
        <v>-1.5178386215488082</v>
      </c>
      <c r="N951" s="304">
        <f t="shared" ca="1" si="423"/>
        <v>-86.965746996701313</v>
      </c>
      <c r="P951" s="310">
        <f t="shared" ca="1" si="424"/>
        <v>23</v>
      </c>
      <c r="Q951" s="304">
        <f t="shared" ca="1" si="425"/>
        <v>0</v>
      </c>
      <c r="R951" s="306">
        <f t="shared" ca="1" si="426"/>
        <v>0</v>
      </c>
      <c r="S951" s="307">
        <f t="shared" ca="1" si="427"/>
        <v>2.6792999999999987</v>
      </c>
      <c r="T951" s="304">
        <f t="shared" ca="1" si="407"/>
        <v>26.283932999999987</v>
      </c>
      <c r="U951" s="311">
        <f t="shared" ca="1" si="408"/>
        <v>0</v>
      </c>
      <c r="V951" s="306">
        <f t="shared" ca="1" si="409"/>
        <v>1.2265678669272209</v>
      </c>
      <c r="W951" s="304">
        <f t="shared" ca="1" si="410"/>
        <v>25.408546470459079</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0.31298431258137605</v>
      </c>
      <c r="AH951" s="304">
        <f t="shared" ca="1" si="434"/>
        <v>-9.4832624705113489</v>
      </c>
    </row>
    <row r="952" spans="1:34" x14ac:dyDescent="0.2">
      <c r="A952" s="347">
        <f t="shared" ca="1" si="412"/>
        <v>1E-4</v>
      </c>
      <c r="B952" s="304">
        <f t="shared" ca="1" si="413"/>
        <v>36.643400000001648</v>
      </c>
      <c r="D952" s="306">
        <f t="shared" ca="1" si="414"/>
        <v>-0.50197792446301615</v>
      </c>
      <c r="E952" s="307">
        <f t="shared" ca="1" si="415"/>
        <v>-0.34001700939486668</v>
      </c>
      <c r="F952" s="304">
        <f t="shared" ca="1" si="416"/>
        <v>0.60629481551966646</v>
      </c>
      <c r="G952" s="306">
        <f t="shared" ca="1" si="417"/>
        <v>5.3238980562952944</v>
      </c>
      <c r="H952" s="307">
        <f t="shared" ca="1" si="418"/>
        <v>-100.43811494521353</v>
      </c>
      <c r="I952" s="304">
        <f t="shared" ca="1" si="419"/>
        <v>100.57911723743527</v>
      </c>
      <c r="J952" s="306">
        <f t="shared" ca="1" si="420"/>
        <v>711.72888807733182</v>
      </c>
      <c r="K952" s="307">
        <f t="shared" ca="1" si="421"/>
        <v>-12.800772130002104</v>
      </c>
      <c r="L952" s="304">
        <f t="shared" ca="1" si="406"/>
        <v>711.84399266336391</v>
      </c>
      <c r="M952" s="306">
        <f t="shared" ca="1" si="422"/>
        <v>-1.5178391378312188</v>
      </c>
      <c r="N952" s="304">
        <f t="shared" ca="1" si="423"/>
        <v>-86.965776577504485</v>
      </c>
      <c r="P952" s="310">
        <f t="shared" ca="1" si="424"/>
        <v>23</v>
      </c>
      <c r="Q952" s="304">
        <f t="shared" ca="1" si="425"/>
        <v>0</v>
      </c>
      <c r="R952" s="306">
        <f t="shared" ca="1" si="426"/>
        <v>0</v>
      </c>
      <c r="S952" s="307">
        <f t="shared" ca="1" si="427"/>
        <v>2.6792999999999987</v>
      </c>
      <c r="T952" s="304">
        <f t="shared" ca="1" si="407"/>
        <v>26.283932999999987</v>
      </c>
      <c r="U952" s="311">
        <f t="shared" ca="1" si="408"/>
        <v>0</v>
      </c>
      <c r="V952" s="306">
        <f t="shared" ca="1" si="409"/>
        <v>1.2265690988697795</v>
      </c>
      <c r="W952" s="304">
        <f t="shared" ca="1" si="410"/>
        <v>25.408587802982201</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0.31296915380456625</v>
      </c>
      <c r="AH952" s="304">
        <f t="shared" ca="1" si="434"/>
        <v>-9.4832778973833065</v>
      </c>
    </row>
    <row r="953" spans="1:34" x14ac:dyDescent="0.2">
      <c r="A953" s="347">
        <f t="shared" ca="1" si="412"/>
        <v>1E-4</v>
      </c>
      <c r="B953" s="304">
        <f t="shared" ca="1" si="413"/>
        <v>36.643500000001652</v>
      </c>
      <c r="D953" s="306">
        <f t="shared" ca="1" si="414"/>
        <v>-0.50197385184554322</v>
      </c>
      <c r="E953" s="307">
        <f t="shared" ca="1" si="415"/>
        <v>-0.34000134524779568</v>
      </c>
      <c r="F953" s="304">
        <f t="shared" ca="1" si="416"/>
        <v>0.60628265908482171</v>
      </c>
      <c r="G953" s="306">
        <f t="shared" ca="1" si="417"/>
        <v>5.3238478589101099</v>
      </c>
      <c r="H953" s="307">
        <f t="shared" ca="1" si="418"/>
        <v>-100.43814894534805</v>
      </c>
      <c r="I953" s="304">
        <f t="shared" ca="1" si="419"/>
        <v>100.57914853284821</v>
      </c>
      <c r="J953" s="306">
        <f t="shared" ca="1" si="420"/>
        <v>711.72888807733182</v>
      </c>
      <c r="K953" s="307">
        <f t="shared" ca="1" si="421"/>
        <v>-12.810815943196632</v>
      </c>
      <c r="L953" s="304">
        <f t="shared" ca="1" si="406"/>
        <v>711.84417334759826</v>
      </c>
      <c r="M953" s="306">
        <f t="shared" ca="1" si="422"/>
        <v>-1.51783965410844</v>
      </c>
      <c r="N953" s="304">
        <f t="shared" ca="1" si="423"/>
        <v>-86.965806158010324</v>
      </c>
      <c r="P953" s="310">
        <f t="shared" ca="1" si="424"/>
        <v>23</v>
      </c>
      <c r="Q953" s="304">
        <f t="shared" ca="1" si="425"/>
        <v>0</v>
      </c>
      <c r="R953" s="306">
        <f t="shared" ca="1" si="426"/>
        <v>0</v>
      </c>
      <c r="S953" s="307">
        <f t="shared" ca="1" si="427"/>
        <v>2.6792999999999987</v>
      </c>
      <c r="T953" s="304">
        <f t="shared" ca="1" si="407"/>
        <v>26.283932999999987</v>
      </c>
      <c r="U953" s="311">
        <f t="shared" ca="1" si="408"/>
        <v>0</v>
      </c>
      <c r="V953" s="306">
        <f t="shared" ca="1" si="409"/>
        <v>1.226570330813993</v>
      </c>
      <c r="W953" s="304">
        <f t="shared" ca="1" si="410"/>
        <v>25.408629134810408</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0.31295399528181811</v>
      </c>
      <c r="AH953" s="304">
        <f t="shared" ca="1" si="434"/>
        <v>-9.4832933239959001</v>
      </c>
    </row>
    <row r="954" spans="1:34" x14ac:dyDescent="0.2">
      <c r="A954" s="347">
        <f t="shared" ca="1" si="412"/>
        <v>1E-4</v>
      </c>
      <c r="B954" s="304">
        <f t="shared" ca="1" si="413"/>
        <v>36.643600000001655</v>
      </c>
      <c r="D954" s="306">
        <f t="shared" ca="1" si="414"/>
        <v>-0.50196977924744468</v>
      </c>
      <c r="E954" s="307">
        <f t="shared" ca="1" si="415"/>
        <v>-0.33998568136401275</v>
      </c>
      <c r="F954" s="304">
        <f t="shared" ca="1" si="416"/>
        <v>0.60627050300198537</v>
      </c>
      <c r="G954" s="306">
        <f t="shared" ca="1" si="417"/>
        <v>5.3237976619321854</v>
      </c>
      <c r="H954" s="307">
        <f t="shared" ca="1" si="418"/>
        <v>-100.43818294391619</v>
      </c>
      <c r="I954" s="304">
        <f t="shared" ca="1" si="419"/>
        <v>100.57917982674532</v>
      </c>
      <c r="J954" s="306">
        <f t="shared" ca="1" si="420"/>
        <v>711.72888807733182</v>
      </c>
      <c r="K954" s="307">
        <f t="shared" ca="1" si="421"/>
        <v>-12.820859759791094</v>
      </c>
      <c r="L954" s="304">
        <f t="shared" ca="1" si="406"/>
        <v>711.8443541735619</v>
      </c>
      <c r="M954" s="306">
        <f t="shared" ca="1" si="422"/>
        <v>-1.5178401703804723</v>
      </c>
      <c r="N954" s="304">
        <f t="shared" ca="1" si="423"/>
        <v>-86.965835738218843</v>
      </c>
      <c r="P954" s="310">
        <f t="shared" ca="1" si="424"/>
        <v>23</v>
      </c>
      <c r="Q954" s="304">
        <f t="shared" ca="1" si="425"/>
        <v>0</v>
      </c>
      <c r="R954" s="306">
        <f t="shared" ca="1" si="426"/>
        <v>0</v>
      </c>
      <c r="S954" s="307">
        <f t="shared" ca="1" si="427"/>
        <v>2.6792999999999987</v>
      </c>
      <c r="T954" s="304">
        <f t="shared" ca="1" si="407"/>
        <v>26.283932999999987</v>
      </c>
      <c r="U954" s="311">
        <f t="shared" ca="1" si="408"/>
        <v>0</v>
      </c>
      <c r="V954" s="306">
        <f t="shared" ca="1" si="409"/>
        <v>1.2265715627598619</v>
      </c>
      <c r="W954" s="304">
        <f t="shared" ca="1" si="410"/>
        <v>25.408670465943725</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0.31293883701312986</v>
      </c>
      <c r="AH954" s="304">
        <f t="shared" ca="1" si="434"/>
        <v>-9.4833087503491278</v>
      </c>
    </row>
    <row r="955" spans="1:34" x14ac:dyDescent="0.2">
      <c r="A955" s="347">
        <f t="shared" ca="1" si="412"/>
        <v>1E-4</v>
      </c>
      <c r="B955" s="304">
        <f t="shared" ca="1" si="413"/>
        <v>36.643700000001658</v>
      </c>
      <c r="D955" s="306">
        <f t="shared" ca="1" si="414"/>
        <v>-0.50196570666871776</v>
      </c>
      <c r="E955" s="307">
        <f t="shared" ca="1" si="415"/>
        <v>-0.33997001774350721</v>
      </c>
      <c r="F955" s="304">
        <f t="shared" ca="1" si="416"/>
        <v>0.60625834727114958</v>
      </c>
      <c r="G955" s="306">
        <f t="shared" ca="1" si="417"/>
        <v>5.3237474653615182</v>
      </c>
      <c r="H955" s="307">
        <f t="shared" ca="1" si="418"/>
        <v>-100.43821694091797</v>
      </c>
      <c r="I955" s="304">
        <f t="shared" ca="1" si="419"/>
        <v>100.57921111912663</v>
      </c>
      <c r="J955" s="306">
        <f t="shared" ca="1" si="420"/>
        <v>711.72888807733182</v>
      </c>
      <c r="K955" s="307">
        <f t="shared" ca="1" si="421"/>
        <v>-12.830903579785335</v>
      </c>
      <c r="L955" s="304">
        <f t="shared" ca="1" si="406"/>
        <v>711.8445351412546</v>
      </c>
      <c r="M955" s="306">
        <f t="shared" ca="1" si="422"/>
        <v>-1.5178406866473155</v>
      </c>
      <c r="N955" s="304">
        <f t="shared" ca="1" si="423"/>
        <v>-86.965865318130071</v>
      </c>
      <c r="P955" s="310">
        <f t="shared" ca="1" si="424"/>
        <v>23</v>
      </c>
      <c r="Q955" s="304">
        <f t="shared" ca="1" si="425"/>
        <v>0</v>
      </c>
      <c r="R955" s="306">
        <f t="shared" ca="1" si="426"/>
        <v>0</v>
      </c>
      <c r="S955" s="307">
        <f t="shared" ca="1" si="427"/>
        <v>2.6792999999999987</v>
      </c>
      <c r="T955" s="304">
        <f t="shared" ca="1" si="407"/>
        <v>26.283932999999987</v>
      </c>
      <c r="U955" s="311">
        <f t="shared" ca="1" si="408"/>
        <v>0</v>
      </c>
      <c r="V955" s="306">
        <f t="shared" ca="1" si="409"/>
        <v>1.2265727947073859</v>
      </c>
      <c r="W955" s="304">
        <f t="shared" ca="1" si="410"/>
        <v>25.40871179638215</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0.31292367899848728</v>
      </c>
      <c r="AH955" s="304">
        <f t="shared" ca="1" si="434"/>
        <v>-9.4833241764430021</v>
      </c>
    </row>
    <row r="956" spans="1:34" x14ac:dyDescent="0.2">
      <c r="A956" s="347">
        <f t="shared" ca="1" si="412"/>
        <v>1E-4</v>
      </c>
      <c r="B956" s="304">
        <f t="shared" ca="1" si="413"/>
        <v>36.643800000001661</v>
      </c>
      <c r="D956" s="306">
        <f t="shared" ca="1" si="414"/>
        <v>-0.50196163410936323</v>
      </c>
      <c r="E956" s="307">
        <f t="shared" ca="1" si="415"/>
        <v>-0.3399543543862773</v>
      </c>
      <c r="F956" s="304">
        <f t="shared" ca="1" si="416"/>
        <v>0.60624619189231432</v>
      </c>
      <c r="G956" s="306">
        <f t="shared" ca="1" si="417"/>
        <v>5.3236972691981075</v>
      </c>
      <c r="H956" s="307">
        <f t="shared" ca="1" si="418"/>
        <v>-100.43825093635341</v>
      </c>
      <c r="I956" s="304">
        <f t="shared" ca="1" si="419"/>
        <v>100.57924240999216</v>
      </c>
      <c r="J956" s="306">
        <f t="shared" ca="1" si="420"/>
        <v>711.72888807733182</v>
      </c>
      <c r="K956" s="307">
        <f t="shared" ca="1" si="421"/>
        <v>-12.840947403179198</v>
      </c>
      <c r="L956" s="304">
        <f t="shared" ca="1" si="406"/>
        <v>711.8447162506767</v>
      </c>
      <c r="M956" s="306">
        <f t="shared" ca="1" si="422"/>
        <v>-1.5178412029089696</v>
      </c>
      <c r="N956" s="304">
        <f t="shared" ca="1" si="423"/>
        <v>-86.965894897743965</v>
      </c>
      <c r="P956" s="310">
        <f t="shared" ca="1" si="424"/>
        <v>23</v>
      </c>
      <c r="Q956" s="304">
        <f t="shared" ca="1" si="425"/>
        <v>0</v>
      </c>
      <c r="R956" s="306">
        <f t="shared" ca="1" si="426"/>
        <v>0</v>
      </c>
      <c r="S956" s="307">
        <f t="shared" ca="1" si="427"/>
        <v>2.6792999999999987</v>
      </c>
      <c r="T956" s="304">
        <f t="shared" ca="1" si="407"/>
        <v>26.283932999999987</v>
      </c>
      <c r="U956" s="311">
        <f t="shared" ca="1" si="408"/>
        <v>0</v>
      </c>
      <c r="V956" s="306">
        <f t="shared" ca="1" si="409"/>
        <v>1.226574026656565</v>
      </c>
      <c r="W956" s="304">
        <f t="shared" ca="1" si="410"/>
        <v>25.408753126125706</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0.31290852123789747</v>
      </c>
      <c r="AH956" s="304">
        <f t="shared" ca="1" si="434"/>
        <v>-9.4833396022775212</v>
      </c>
    </row>
    <row r="957" spans="1:34" x14ac:dyDescent="0.2">
      <c r="A957" s="347">
        <f t="shared" ca="1" si="412"/>
        <v>1E-4</v>
      </c>
      <c r="B957" s="304">
        <f t="shared" ca="1" si="413"/>
        <v>36.643900000001665</v>
      </c>
      <c r="D957" s="306">
        <f t="shared" ca="1" si="414"/>
        <v>-0.50195756156938387</v>
      </c>
      <c r="E957" s="307">
        <f t="shared" ca="1" si="415"/>
        <v>-0.33993869129231769</v>
      </c>
      <c r="F957" s="304">
        <f t="shared" ca="1" si="416"/>
        <v>0.60623403686547939</v>
      </c>
      <c r="G957" s="306">
        <f t="shared" ca="1" si="417"/>
        <v>5.3236470734419505</v>
      </c>
      <c r="H957" s="307">
        <f t="shared" ca="1" si="418"/>
        <v>-100.43828493022254</v>
      </c>
      <c r="I957" s="304">
        <f t="shared" ca="1" si="419"/>
        <v>100.57927369934193</v>
      </c>
      <c r="J957" s="306">
        <f t="shared" ca="1" si="420"/>
        <v>711.72888807733182</v>
      </c>
      <c r="K957" s="307">
        <f t="shared" ca="1" si="421"/>
        <v>-12.850991229972527</v>
      </c>
      <c r="L957" s="304">
        <f t="shared" ca="1" si="406"/>
        <v>711.84489750182797</v>
      </c>
      <c r="M957" s="306">
        <f t="shared" ca="1" si="422"/>
        <v>-1.517841719165435</v>
      </c>
      <c r="N957" s="304">
        <f t="shared" ca="1" si="423"/>
        <v>-86.965924477060582</v>
      </c>
      <c r="P957" s="310">
        <f t="shared" ca="1" si="424"/>
        <v>23</v>
      </c>
      <c r="Q957" s="304">
        <f t="shared" ca="1" si="425"/>
        <v>0</v>
      </c>
      <c r="R957" s="306">
        <f t="shared" ca="1" si="426"/>
        <v>0</v>
      </c>
      <c r="S957" s="307">
        <f t="shared" ca="1" si="427"/>
        <v>2.6792999999999987</v>
      </c>
      <c r="T957" s="304">
        <f t="shared" ca="1" si="407"/>
        <v>26.283932999999987</v>
      </c>
      <c r="U957" s="311">
        <f t="shared" ca="1" si="408"/>
        <v>0</v>
      </c>
      <c r="V957" s="306">
        <f t="shared" ca="1" si="409"/>
        <v>1.2265752586073995</v>
      </c>
      <c r="W957" s="304">
        <f t="shared" ca="1" si="410"/>
        <v>25.408794455174384</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0.31289336373134979</v>
      </c>
      <c r="AH957" s="304">
        <f t="shared" ca="1" si="434"/>
        <v>-9.4833550278526921</v>
      </c>
    </row>
    <row r="958" spans="1:34" x14ac:dyDescent="0.2">
      <c r="A958" s="347">
        <f t="shared" ca="1" si="412"/>
        <v>1E-4</v>
      </c>
      <c r="B958" s="304">
        <f t="shared" ca="1" si="413"/>
        <v>36.644000000001668</v>
      </c>
      <c r="D958" s="306">
        <f t="shared" ca="1" si="414"/>
        <v>-0.50195348904877624</v>
      </c>
      <c r="E958" s="307">
        <f t="shared" ca="1" si="415"/>
        <v>-0.33992302846163014</v>
      </c>
      <c r="F958" s="304">
        <f t="shared" ca="1" si="416"/>
        <v>0.60622188219064321</v>
      </c>
      <c r="G958" s="306">
        <f t="shared" ca="1" si="417"/>
        <v>5.3235968780930456</v>
      </c>
      <c r="H958" s="307">
        <f t="shared" ca="1" si="418"/>
        <v>-100.43831892252538</v>
      </c>
      <c r="I958" s="304">
        <f t="shared" ca="1" si="419"/>
        <v>100.57930498717599</v>
      </c>
      <c r="J958" s="306">
        <f t="shared" ca="1" si="420"/>
        <v>711.72888807733182</v>
      </c>
      <c r="K958" s="307">
        <f t="shared" ca="1" si="421"/>
        <v>-12.861035060165165</v>
      </c>
      <c r="L958" s="304">
        <f t="shared" ca="1" si="406"/>
        <v>711.84507889470854</v>
      </c>
      <c r="M958" s="306">
        <f t="shared" ca="1" si="422"/>
        <v>-1.5178422354167116</v>
      </c>
      <c r="N958" s="304">
        <f t="shared" ca="1" si="423"/>
        <v>-86.965954056079894</v>
      </c>
      <c r="P958" s="310">
        <f t="shared" ca="1" si="424"/>
        <v>23</v>
      </c>
      <c r="Q958" s="304">
        <f t="shared" ca="1" si="425"/>
        <v>0</v>
      </c>
      <c r="R958" s="306">
        <f t="shared" ca="1" si="426"/>
        <v>0</v>
      </c>
      <c r="S958" s="307">
        <f t="shared" ca="1" si="427"/>
        <v>2.6792999999999987</v>
      </c>
      <c r="T958" s="304">
        <f t="shared" ca="1" si="407"/>
        <v>26.283932999999987</v>
      </c>
      <c r="U958" s="311">
        <f t="shared" ca="1" si="408"/>
        <v>0</v>
      </c>
      <c r="V958" s="306">
        <f t="shared" ca="1" si="409"/>
        <v>1.2265764905598886</v>
      </c>
      <c r="W958" s="304">
        <f t="shared" ca="1" si="410"/>
        <v>25.4088357835282</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0.31287820647884423</v>
      </c>
      <c r="AH958" s="304">
        <f t="shared" ca="1" si="434"/>
        <v>-9.4833704531685132</v>
      </c>
    </row>
    <row r="959" spans="1:34" x14ac:dyDescent="0.2">
      <c r="A959" s="347">
        <f t="shared" ca="1" si="412"/>
        <v>1E-4</v>
      </c>
      <c r="B959" s="304">
        <f t="shared" ca="1" si="413"/>
        <v>36.644100000001671</v>
      </c>
      <c r="D959" s="306">
        <f t="shared" ca="1" si="414"/>
        <v>-0.50194941654754111</v>
      </c>
      <c r="E959" s="307">
        <f t="shared" ca="1" si="415"/>
        <v>-0.33990736589421111</v>
      </c>
      <c r="F959" s="304">
        <f t="shared" ca="1" si="416"/>
        <v>0.60620972786780492</v>
      </c>
      <c r="G959" s="306">
        <f t="shared" ca="1" si="417"/>
        <v>5.3235466831513909</v>
      </c>
      <c r="H959" s="307">
        <f t="shared" ca="1" si="418"/>
        <v>-100.43835291326197</v>
      </c>
      <c r="I959" s="304">
        <f t="shared" ca="1" si="419"/>
        <v>100.57933627349432</v>
      </c>
      <c r="J959" s="306">
        <f t="shared" ca="1" si="420"/>
        <v>711.72888807733182</v>
      </c>
      <c r="K959" s="307">
        <f t="shared" ca="1" si="421"/>
        <v>-12.871078893756954</v>
      </c>
      <c r="L959" s="304">
        <f t="shared" ca="1" si="406"/>
        <v>711.84526042931861</v>
      </c>
      <c r="M959" s="306">
        <f t="shared" ca="1" si="422"/>
        <v>-1.5178427516627992</v>
      </c>
      <c r="N959" s="304">
        <f t="shared" ca="1" si="423"/>
        <v>-86.965983634801916</v>
      </c>
      <c r="P959" s="310">
        <f t="shared" ca="1" si="424"/>
        <v>23</v>
      </c>
      <c r="Q959" s="304">
        <f t="shared" ca="1" si="425"/>
        <v>0</v>
      </c>
      <c r="R959" s="306">
        <f t="shared" ca="1" si="426"/>
        <v>0</v>
      </c>
      <c r="S959" s="307">
        <f t="shared" ca="1" si="427"/>
        <v>2.6792999999999987</v>
      </c>
      <c r="T959" s="304">
        <f t="shared" ca="1" si="407"/>
        <v>26.283932999999987</v>
      </c>
      <c r="U959" s="311">
        <f t="shared" ca="1" si="408"/>
        <v>0</v>
      </c>
      <c r="V959" s="306">
        <f t="shared" ca="1" si="409"/>
        <v>1.2265777225140329</v>
      </c>
      <c r="W959" s="304">
        <f t="shared" ca="1" si="410"/>
        <v>25.408877111187149</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0.31286304948038079</v>
      </c>
      <c r="AH959" s="304">
        <f t="shared" ca="1" si="434"/>
        <v>-9.4833858782249898</v>
      </c>
    </row>
    <row r="960" spans="1:34" x14ac:dyDescent="0.2">
      <c r="A960" s="347">
        <f t="shared" ca="1" si="412"/>
        <v>1E-4</v>
      </c>
      <c r="B960" s="304">
        <f t="shared" ca="1" si="413"/>
        <v>36.644200000001675</v>
      </c>
      <c r="D960" s="306">
        <f t="shared" ca="1" si="414"/>
        <v>-0.50194534406568136</v>
      </c>
      <c r="E960" s="307">
        <f t="shared" ca="1" si="415"/>
        <v>-0.33989170359005882</v>
      </c>
      <c r="F960" s="304">
        <f t="shared" ca="1" si="416"/>
        <v>0.60619757389696605</v>
      </c>
      <c r="G960" s="306">
        <f t="shared" ca="1" si="417"/>
        <v>5.3234964886169847</v>
      </c>
      <c r="H960" s="307">
        <f t="shared" ca="1" si="418"/>
        <v>-100.43838690243233</v>
      </c>
      <c r="I960" s="304">
        <f t="shared" ca="1" si="419"/>
        <v>100.57936755829699</v>
      </c>
      <c r="J960" s="306">
        <f t="shared" ca="1" si="420"/>
        <v>711.72888807733182</v>
      </c>
      <c r="K960" s="307">
        <f t="shared" ca="1" si="421"/>
        <v>-12.881122730747739</v>
      </c>
      <c r="L960" s="304">
        <f t="shared" ca="1" si="406"/>
        <v>711.84544210565798</v>
      </c>
      <c r="M960" s="306">
        <f t="shared" ca="1" si="422"/>
        <v>-1.5178432679036982</v>
      </c>
      <c r="N960" s="304">
        <f t="shared" ca="1" si="423"/>
        <v>-86.966013213226631</v>
      </c>
      <c r="P960" s="310">
        <f t="shared" ca="1" si="424"/>
        <v>23</v>
      </c>
      <c r="Q960" s="304">
        <f t="shared" ca="1" si="425"/>
        <v>0</v>
      </c>
      <c r="R960" s="306">
        <f t="shared" ca="1" si="426"/>
        <v>0</v>
      </c>
      <c r="S960" s="307">
        <f t="shared" ca="1" si="427"/>
        <v>2.6792999999999987</v>
      </c>
      <c r="T960" s="304">
        <f t="shared" ca="1" si="407"/>
        <v>26.283932999999987</v>
      </c>
      <c r="U960" s="311">
        <f t="shared" ca="1" si="408"/>
        <v>0</v>
      </c>
      <c r="V960" s="306">
        <f t="shared" ca="1" si="409"/>
        <v>1.2265789544698324</v>
      </c>
      <c r="W960" s="304">
        <f t="shared" ca="1" si="410"/>
        <v>25.408918438151279</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0.3128478927359577</v>
      </c>
      <c r="AH960" s="304">
        <f t="shared" ca="1" si="434"/>
        <v>-9.4834013030221183</v>
      </c>
    </row>
    <row r="961" spans="1:34" x14ac:dyDescent="0.2">
      <c r="A961" s="347">
        <f t="shared" ca="1" si="412"/>
        <v>1E-4</v>
      </c>
      <c r="B961" s="304">
        <f t="shared" ca="1" si="413"/>
        <v>36.644300000001678</v>
      </c>
      <c r="D961" s="306">
        <f t="shared" ca="1" si="414"/>
        <v>-0.50194127160319624</v>
      </c>
      <c r="E961" s="307">
        <f t="shared" ca="1" si="415"/>
        <v>-0.33987604154915729</v>
      </c>
      <c r="F961" s="304">
        <f t="shared" ca="1" si="416"/>
        <v>0.60618542027811761</v>
      </c>
      <c r="G961" s="306">
        <f t="shared" ca="1" si="417"/>
        <v>5.3234462944898242</v>
      </c>
      <c r="H961" s="307">
        <f t="shared" ca="1" si="418"/>
        <v>-100.43842089003648</v>
      </c>
      <c r="I961" s="304">
        <f t="shared" ca="1" si="419"/>
        <v>100.57939884158404</v>
      </c>
      <c r="J961" s="306">
        <f t="shared" ca="1" si="420"/>
        <v>711.72888807733182</v>
      </c>
      <c r="K961" s="307">
        <f t="shared" ca="1" si="421"/>
        <v>-12.891166571137363</v>
      </c>
      <c r="L961" s="304">
        <f t="shared" ca="1" si="406"/>
        <v>711.84562392372686</v>
      </c>
      <c r="M961" s="306">
        <f t="shared" ca="1" si="422"/>
        <v>-1.5178437841394086</v>
      </c>
      <c r="N961" s="304">
        <f t="shared" ca="1" si="423"/>
        <v>-86.96604279135407</v>
      </c>
      <c r="P961" s="310">
        <f t="shared" ca="1" si="424"/>
        <v>23</v>
      </c>
      <c r="Q961" s="304">
        <f t="shared" ca="1" si="425"/>
        <v>0</v>
      </c>
      <c r="R961" s="306">
        <f t="shared" ca="1" si="426"/>
        <v>0</v>
      </c>
      <c r="S961" s="307">
        <f t="shared" ca="1" si="427"/>
        <v>2.6792999999999987</v>
      </c>
      <c r="T961" s="304">
        <f t="shared" ca="1" si="407"/>
        <v>26.283932999999987</v>
      </c>
      <c r="U961" s="311">
        <f t="shared" ca="1" si="408"/>
        <v>0</v>
      </c>
      <c r="V961" s="306">
        <f t="shared" ca="1" si="409"/>
        <v>1.2265801864272869</v>
      </c>
      <c r="W961" s="304">
        <f t="shared" ca="1" si="410"/>
        <v>25.408959764420583</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0.31283273624555719</v>
      </c>
      <c r="AH961" s="304">
        <f t="shared" ca="1" si="434"/>
        <v>-9.4834167275599199</v>
      </c>
    </row>
    <row r="962" spans="1:34" x14ac:dyDescent="0.2">
      <c r="A962" s="347">
        <f t="shared" ca="1" si="412"/>
        <v>1E-4</v>
      </c>
      <c r="B962" s="304">
        <f t="shared" ca="1" si="413"/>
        <v>36.644400000001681</v>
      </c>
      <c r="D962" s="306">
        <f t="shared" ca="1" si="414"/>
        <v>-0.50193719916008428</v>
      </c>
      <c r="E962" s="307">
        <f t="shared" ca="1" si="415"/>
        <v>-0.33986037977150829</v>
      </c>
      <c r="F962" s="304">
        <f t="shared" ca="1" si="416"/>
        <v>0.60617326701125973</v>
      </c>
      <c r="G962" s="306">
        <f t="shared" ca="1" si="417"/>
        <v>5.3233961007699078</v>
      </c>
      <c r="H962" s="307">
        <f t="shared" ca="1" si="418"/>
        <v>-100.43845487607446</v>
      </c>
      <c r="I962" s="304">
        <f t="shared" ca="1" si="419"/>
        <v>100.57943012335544</v>
      </c>
      <c r="J962" s="306">
        <f t="shared" ca="1" si="420"/>
        <v>711.72888807733182</v>
      </c>
      <c r="K962" s="307">
        <f t="shared" ca="1" si="421"/>
        <v>-12.90121041492567</v>
      </c>
      <c r="L962" s="304">
        <f t="shared" ca="1" si="406"/>
        <v>711.84580588352514</v>
      </c>
      <c r="M962" s="306">
        <f t="shared" ca="1" si="422"/>
        <v>-1.5178443003699302</v>
      </c>
      <c r="N962" s="304">
        <f t="shared" ca="1" si="423"/>
        <v>-86.966072369184218</v>
      </c>
      <c r="P962" s="310">
        <f t="shared" ca="1" si="424"/>
        <v>23</v>
      </c>
      <c r="Q962" s="304">
        <f t="shared" ca="1" si="425"/>
        <v>0</v>
      </c>
      <c r="R962" s="306">
        <f t="shared" ca="1" si="426"/>
        <v>0</v>
      </c>
      <c r="S962" s="307">
        <f t="shared" ca="1" si="427"/>
        <v>2.6792999999999987</v>
      </c>
      <c r="T962" s="304">
        <f t="shared" ca="1" si="407"/>
        <v>26.283932999999987</v>
      </c>
      <c r="U962" s="311">
        <f t="shared" ca="1" si="408"/>
        <v>0</v>
      </c>
      <c r="V962" s="306">
        <f t="shared" ca="1" si="409"/>
        <v>1.2265814183863963</v>
      </c>
      <c r="W962" s="304">
        <f t="shared" ca="1" si="410"/>
        <v>25.409001089995051</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0.31281758000918636</v>
      </c>
      <c r="AH962" s="304">
        <f t="shared" ca="1" si="434"/>
        <v>-9.4834321518383895</v>
      </c>
    </row>
    <row r="963" spans="1:34" x14ac:dyDescent="0.2">
      <c r="A963" s="347">
        <f t="shared" ca="1" si="412"/>
        <v>1E-4</v>
      </c>
      <c r="B963" s="304">
        <f t="shared" ca="1" si="413"/>
        <v>36.644500000001685</v>
      </c>
      <c r="D963" s="306">
        <f t="shared" ca="1" si="414"/>
        <v>-0.50193312673634805</v>
      </c>
      <c r="E963" s="307">
        <f t="shared" ca="1" si="415"/>
        <v>-0.33984471825711893</v>
      </c>
      <c r="F963" s="304">
        <f t="shared" ca="1" si="416"/>
        <v>0.60616111409639872</v>
      </c>
      <c r="G963" s="306">
        <f t="shared" ca="1" si="417"/>
        <v>5.3233459074572345</v>
      </c>
      <c r="H963" s="307">
        <f t="shared" ca="1" si="418"/>
        <v>-100.43848886054629</v>
      </c>
      <c r="I963" s="304">
        <f t="shared" ca="1" si="419"/>
        <v>100.57946140361123</v>
      </c>
      <c r="J963" s="306">
        <f t="shared" ca="1" si="420"/>
        <v>711.72888807733182</v>
      </c>
      <c r="K963" s="307">
        <f t="shared" ca="1" si="421"/>
        <v>-12.9112542621125</v>
      </c>
      <c r="L963" s="304">
        <f t="shared" ca="1" si="406"/>
        <v>711.84598798505294</v>
      </c>
      <c r="M963" s="306">
        <f t="shared" ca="1" si="422"/>
        <v>-1.5178448165952634</v>
      </c>
      <c r="N963" s="304">
        <f t="shared" ca="1" si="423"/>
        <v>-86.966101946717089</v>
      </c>
      <c r="P963" s="310">
        <f t="shared" ca="1" si="424"/>
        <v>23</v>
      </c>
      <c r="Q963" s="304">
        <f t="shared" ca="1" si="425"/>
        <v>0</v>
      </c>
      <c r="R963" s="306">
        <f t="shared" ca="1" si="426"/>
        <v>0</v>
      </c>
      <c r="S963" s="307">
        <f t="shared" ca="1" si="427"/>
        <v>2.6792999999999987</v>
      </c>
      <c r="T963" s="304">
        <f t="shared" ca="1" si="407"/>
        <v>26.283932999999987</v>
      </c>
      <c r="U963" s="311">
        <f t="shared" ca="1" si="408"/>
        <v>0</v>
      </c>
      <c r="V963" s="306">
        <f t="shared" ca="1" si="409"/>
        <v>1.2265826503471606</v>
      </c>
      <c r="W963" s="304">
        <f t="shared" ca="1" si="410"/>
        <v>25.409042414874705</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0.31280242402684522</v>
      </c>
      <c r="AH963" s="304">
        <f t="shared" ca="1" si="434"/>
        <v>-9.4834475758575234</v>
      </c>
    </row>
    <row r="964" spans="1:34" x14ac:dyDescent="0.2">
      <c r="A964" s="347">
        <f t="shared" ca="1" si="412"/>
        <v>1E-4</v>
      </c>
      <c r="B964" s="304">
        <f t="shared" ca="1" si="413"/>
        <v>36.644600000001688</v>
      </c>
      <c r="D964" s="306">
        <f t="shared" ca="1" si="414"/>
        <v>-0.50192905433198653</v>
      </c>
      <c r="E964" s="307">
        <f t="shared" ca="1" si="415"/>
        <v>-0.33982905700597321</v>
      </c>
      <c r="F964" s="304">
        <f t="shared" ca="1" si="416"/>
        <v>0.60614896153352549</v>
      </c>
      <c r="G964" s="306">
        <f t="shared" ca="1" si="417"/>
        <v>5.3232957145518016</v>
      </c>
      <c r="H964" s="307">
        <f t="shared" ca="1" si="418"/>
        <v>-100.43852284345199</v>
      </c>
      <c r="I964" s="304">
        <f t="shared" ca="1" si="419"/>
        <v>100.57949268235147</v>
      </c>
      <c r="J964" s="306">
        <f t="shared" ca="1" si="420"/>
        <v>711.72888807733182</v>
      </c>
      <c r="K964" s="307">
        <f t="shared" ca="1" si="421"/>
        <v>-12.9212981126977</v>
      </c>
      <c r="L964" s="304">
        <f t="shared" ref="L964:L1004" ca="1" si="435">SQRT(pos_x^2+pos_z^2)</f>
        <v>711.84617022831014</v>
      </c>
      <c r="M964" s="306">
        <f t="shared" ca="1" si="422"/>
        <v>-1.5178453328154082</v>
      </c>
      <c r="N964" s="304">
        <f t="shared" ca="1" si="423"/>
        <v>-86.966131523952683</v>
      </c>
      <c r="P964" s="310">
        <f t="shared" ca="1" si="424"/>
        <v>23</v>
      </c>
      <c r="Q964" s="304">
        <f t="shared" ca="1" si="425"/>
        <v>0</v>
      </c>
      <c r="R964" s="306">
        <f t="shared" ca="1" si="426"/>
        <v>0</v>
      </c>
      <c r="S964" s="307">
        <f t="shared" ca="1" si="427"/>
        <v>2.6792999999999987</v>
      </c>
      <c r="T964" s="304">
        <f t="shared" ref="T964:T1004" ca="1" si="436">m*g</f>
        <v>26.283932999999987</v>
      </c>
      <c r="U964" s="311">
        <f t="shared" ref="U964:U1004" ca="1" si="437">IF(pos_xz&lt;L_rampe,Poids*COS(Beta),0)</f>
        <v>0</v>
      </c>
      <c r="V964" s="306">
        <f t="shared" ref="V964:V1004" ca="1" si="438">Rho_moyen*(20000-Alt_rampe-pos_z)/(20000+Alt_rampe+pos_z)</f>
        <v>1.2265838823095807</v>
      </c>
      <c r="W964" s="304">
        <f t="shared" ref="W964:W1003" ca="1" si="439">1/2*Rho*Sref*Cx*vit_xz^2</f>
        <v>25.409083739059575</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0.3127872682985231</v>
      </c>
      <c r="AH964" s="304">
        <f t="shared" ca="1" si="434"/>
        <v>-9.4834629996173323</v>
      </c>
    </row>
    <row r="965" spans="1:34" x14ac:dyDescent="0.2">
      <c r="A965" s="347">
        <f t="shared" ref="A965:A1004" ca="1" si="441">IF(B964+0.01&lt;=T_ini+ROUNDUP(Temps_fin_propu,0), 0.01, IF(K964&gt;0, 0.1, 0.0001))</f>
        <v>1E-4</v>
      </c>
      <c r="B965" s="304">
        <f t="shared" ref="B965:B1004" ca="1" si="442">B964+pas</f>
        <v>36.644700000001691</v>
      </c>
      <c r="D965" s="306">
        <f t="shared" ref="D965:D1004" ca="1" si="443">IF(AND(L964&lt;L_rampe,Poussee&lt;Poids*SIN(M964)),0,(-W964+Poussee)/m*COS(M964)-U964/m*SIN(M964))</f>
        <v>-0.50192498194699875</v>
      </c>
      <c r="E965" s="307">
        <f t="shared" ref="E965:E1004" ca="1" si="444">IF(AND(L964&lt;L_rampe,Poussee&lt;Poids*SIN(M964)),0,(-W964+Poussee)/m*SIN(M964)+U964/m*COS(M964)-Poids/m)</f>
        <v>-0.33981339601806759</v>
      </c>
      <c r="F965" s="304">
        <f t="shared" ref="F965:F1004" ca="1" si="445">SQRT(acc_x^2+acc_z^2)</f>
        <v>0.60613680932263725</v>
      </c>
      <c r="G965" s="306">
        <f t="shared" ref="G965:G1004" ca="1" si="446">G964+acc_x*pas</f>
        <v>5.3232455220536066</v>
      </c>
      <c r="H965" s="307">
        <f t="shared" ref="H965:H1004" ca="1" si="447">H964+acc_z*pas</f>
        <v>-100.43855682479159</v>
      </c>
      <c r="I965" s="304">
        <f t="shared" ref="I965:I1004" ca="1" si="448">SQRT(vit_x^2+vit_z^2)</f>
        <v>100.57952395957615</v>
      </c>
      <c r="J965" s="306">
        <f t="shared" ref="J965:J1004" ca="1" si="449">J964+0.5*(vit_x+G964)*pas*(K964&gt;=0)</f>
        <v>711.72888807733182</v>
      </c>
      <c r="K965" s="307">
        <f t="shared" ref="K965:K1004" ca="1" si="450">K964+0.5*(vit_z+H964)*pas</f>
        <v>-12.931341966681112</v>
      </c>
      <c r="L965" s="304">
        <f t="shared" ca="1" si="435"/>
        <v>711.84635261329697</v>
      </c>
      <c r="M965" s="306">
        <f t="shared" ref="M965:M1004" ca="1" si="451">IF(AND(L964&gt;L_rampe,G965&gt;0),ATAN2(G965,H965),$M$4)</f>
        <v>-1.5178458490303646</v>
      </c>
      <c r="N965" s="304">
        <f t="shared" ref="N965:N1004" ca="1" si="452">DEGREES(Beta)</f>
        <v>-86.966161100891</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2.6792999999999987</v>
      </c>
      <c r="T965" s="304">
        <f t="shared" ca="1" si="436"/>
        <v>26.283932999999987</v>
      </c>
      <c r="U965" s="311">
        <f t="shared" ca="1" si="437"/>
        <v>0</v>
      </c>
      <c r="V965" s="306">
        <f t="shared" ca="1" si="438"/>
        <v>1.2265851142736548</v>
      </c>
      <c r="W965" s="304">
        <f t="shared" ca="1" si="439"/>
        <v>25.409125062549631</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0.31277211282421469</v>
      </c>
      <c r="AH965" s="304">
        <f t="shared" ref="AH965:AH1004" ca="1" si="463">IF(AND(L964&lt;L_rampe,Poussee&lt;Poids*SIN(M964)), g*SIN(M964), (-W964+Poussee)/m)</f>
        <v>-9.4834784231178251</v>
      </c>
    </row>
    <row r="966" spans="1:34" x14ac:dyDescent="0.2">
      <c r="A966" s="347">
        <f t="shared" ca="1" si="441"/>
        <v>1E-4</v>
      </c>
      <c r="B966" s="304">
        <f t="shared" ca="1" si="442"/>
        <v>36.644800000001695</v>
      </c>
      <c r="D966" s="306">
        <f t="shared" ca="1" si="443"/>
        <v>-0.50192090958138691</v>
      </c>
      <c r="E966" s="307">
        <f t="shared" ca="1" si="444"/>
        <v>-0.33979773529340918</v>
      </c>
      <c r="F966" s="304">
        <f t="shared" ca="1" si="445"/>
        <v>0.60612465746374034</v>
      </c>
      <c r="G966" s="306">
        <f t="shared" ca="1" si="446"/>
        <v>5.3231953299626484</v>
      </c>
      <c r="H966" s="307">
        <f t="shared" ca="1" si="447"/>
        <v>-100.43859080456512</v>
      </c>
      <c r="I966" s="304">
        <f t="shared" ca="1" si="448"/>
        <v>100.57955523528531</v>
      </c>
      <c r="J966" s="306">
        <f t="shared" ca="1" si="449"/>
        <v>711.72888807733182</v>
      </c>
      <c r="K966" s="307">
        <f t="shared" ca="1" si="450"/>
        <v>-12.94138582406258</v>
      </c>
      <c r="L966" s="304">
        <f t="shared" ca="1" si="435"/>
        <v>711.84653514001343</v>
      </c>
      <c r="M966" s="306">
        <f t="shared" ca="1" si="451"/>
        <v>-1.5178463652401324</v>
      </c>
      <c r="N966" s="304">
        <f t="shared" ca="1" si="452"/>
        <v>-86.96619067753204</v>
      </c>
      <c r="P966" s="310">
        <f t="shared" ca="1" si="453"/>
        <v>23</v>
      </c>
      <c r="Q966" s="304">
        <f t="shared" ca="1" si="454"/>
        <v>0</v>
      </c>
      <c r="R966" s="306">
        <f t="shared" ca="1" si="455"/>
        <v>0</v>
      </c>
      <c r="S966" s="307">
        <f t="shared" ca="1" si="456"/>
        <v>2.6792999999999987</v>
      </c>
      <c r="T966" s="304">
        <f t="shared" ca="1" si="436"/>
        <v>26.283932999999987</v>
      </c>
      <c r="U966" s="311">
        <f t="shared" ca="1" si="437"/>
        <v>0</v>
      </c>
      <c r="V966" s="306">
        <f t="shared" ca="1" si="438"/>
        <v>1.2265863462393845</v>
      </c>
      <c r="W966" s="304">
        <f t="shared" ca="1" si="439"/>
        <v>25.409166385344918</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0.31275695760392708</v>
      </c>
      <c r="AH966" s="304">
        <f t="shared" ca="1" si="463"/>
        <v>-9.4834938463589911</v>
      </c>
    </row>
    <row r="967" spans="1:34" x14ac:dyDescent="0.2">
      <c r="A967" s="347">
        <f t="shared" ca="1" si="441"/>
        <v>1E-4</v>
      </c>
      <c r="B967" s="304">
        <f t="shared" ca="1" si="442"/>
        <v>36.644900000001698</v>
      </c>
      <c r="D967" s="306">
        <f t="shared" ca="1" si="443"/>
        <v>-0.50191683723515257</v>
      </c>
      <c r="E967" s="307">
        <f t="shared" ca="1" si="444"/>
        <v>-0.33978207483198375</v>
      </c>
      <c r="F967" s="304">
        <f t="shared" ca="1" si="445"/>
        <v>0.60611250595682842</v>
      </c>
      <c r="G967" s="306">
        <f t="shared" ca="1" si="446"/>
        <v>5.3231451382789245</v>
      </c>
      <c r="H967" s="307">
        <f t="shared" ca="1" si="447"/>
        <v>-100.43862478277261</v>
      </c>
      <c r="I967" s="304">
        <f t="shared" ca="1" si="448"/>
        <v>100.57958650947897</v>
      </c>
      <c r="J967" s="306">
        <f t="shared" ca="1" si="449"/>
        <v>711.72888807733182</v>
      </c>
      <c r="K967" s="307">
        <f t="shared" ca="1" si="450"/>
        <v>-12.951429684841948</v>
      </c>
      <c r="L967" s="304">
        <f t="shared" ca="1" si="435"/>
        <v>711.84671780845952</v>
      </c>
      <c r="M967" s="306">
        <f t="shared" ca="1" si="451"/>
        <v>-1.5178468814447121</v>
      </c>
      <c r="N967" s="304">
        <f t="shared" ca="1" si="452"/>
        <v>-86.966220253875832</v>
      </c>
      <c r="P967" s="310">
        <f t="shared" ca="1" si="453"/>
        <v>23</v>
      </c>
      <c r="Q967" s="304">
        <f t="shared" ca="1" si="454"/>
        <v>0</v>
      </c>
      <c r="R967" s="306">
        <f t="shared" ca="1" si="455"/>
        <v>0</v>
      </c>
      <c r="S967" s="307">
        <f t="shared" ca="1" si="456"/>
        <v>2.6792999999999987</v>
      </c>
      <c r="T967" s="304">
        <f t="shared" ca="1" si="436"/>
        <v>26.283932999999987</v>
      </c>
      <c r="U967" s="311">
        <f t="shared" ca="1" si="437"/>
        <v>0</v>
      </c>
      <c r="V967" s="306">
        <f t="shared" ca="1" si="438"/>
        <v>1.226587578206769</v>
      </c>
      <c r="W967" s="304">
        <f t="shared" ca="1" si="439"/>
        <v>25.409207707445425</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0.31274180263764606</v>
      </c>
      <c r="AH967" s="304">
        <f t="shared" ca="1" si="463"/>
        <v>-9.4835092693408463</v>
      </c>
    </row>
    <row r="968" spans="1:34" x14ac:dyDescent="0.2">
      <c r="A968" s="347">
        <f t="shared" ca="1" si="441"/>
        <v>1E-4</v>
      </c>
      <c r="B968" s="304">
        <f t="shared" ca="1" si="442"/>
        <v>36.645000000001701</v>
      </c>
      <c r="D968" s="306">
        <f t="shared" ca="1" si="443"/>
        <v>-0.50191276490829195</v>
      </c>
      <c r="E968" s="307">
        <f t="shared" ca="1" si="444"/>
        <v>-0.33976641463379309</v>
      </c>
      <c r="F968" s="304">
        <f t="shared" ca="1" si="445"/>
        <v>0.60610035480189983</v>
      </c>
      <c r="G968" s="306">
        <f t="shared" ca="1" si="446"/>
        <v>5.323094947002434</v>
      </c>
      <c r="H968" s="307">
        <f t="shared" ca="1" si="447"/>
        <v>-100.43865875941407</v>
      </c>
      <c r="I968" s="304">
        <f t="shared" ca="1" si="448"/>
        <v>100.57961778215717</v>
      </c>
      <c r="J968" s="306">
        <f t="shared" ca="1" si="449"/>
        <v>711.72888807733182</v>
      </c>
      <c r="K968" s="307">
        <f t="shared" ca="1" si="450"/>
        <v>-12.961473549019058</v>
      </c>
      <c r="L968" s="304">
        <f t="shared" ca="1" si="435"/>
        <v>711.84690061863512</v>
      </c>
      <c r="M968" s="306">
        <f t="shared" ca="1" si="451"/>
        <v>-1.5178473976441036</v>
      </c>
      <c r="N968" s="304">
        <f t="shared" ca="1" si="452"/>
        <v>-86.966249829922347</v>
      </c>
      <c r="P968" s="310">
        <f t="shared" ca="1" si="453"/>
        <v>23</v>
      </c>
      <c r="Q968" s="304">
        <f t="shared" ca="1" si="454"/>
        <v>0</v>
      </c>
      <c r="R968" s="306">
        <f t="shared" ca="1" si="455"/>
        <v>0</v>
      </c>
      <c r="S968" s="307">
        <f t="shared" ca="1" si="456"/>
        <v>2.6792999999999987</v>
      </c>
      <c r="T968" s="304">
        <f t="shared" ca="1" si="436"/>
        <v>26.283932999999987</v>
      </c>
      <c r="U968" s="311">
        <f t="shared" ca="1" si="437"/>
        <v>0</v>
      </c>
      <c r="V968" s="306">
        <f t="shared" ca="1" si="438"/>
        <v>1.2265888101758082</v>
      </c>
      <c r="W968" s="304">
        <f t="shared" ca="1" si="439"/>
        <v>25.409249028851168</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0.31272664792537519</v>
      </c>
      <c r="AH968" s="304">
        <f t="shared" ca="1" si="463"/>
        <v>-9.4835246920633889</v>
      </c>
    </row>
    <row r="969" spans="1:34" x14ac:dyDescent="0.2">
      <c r="A969" s="347">
        <f t="shared" ca="1" si="441"/>
        <v>1E-4</v>
      </c>
      <c r="B969" s="304">
        <f t="shared" ca="1" si="442"/>
        <v>36.645100000001705</v>
      </c>
      <c r="D969" s="306">
        <f t="shared" ca="1" si="443"/>
        <v>-0.50190869260080817</v>
      </c>
      <c r="E969" s="307">
        <f t="shared" ca="1" si="444"/>
        <v>-0.33975075469883187</v>
      </c>
      <c r="F969" s="304">
        <f t="shared" ca="1" si="445"/>
        <v>0.60608820399895458</v>
      </c>
      <c r="G969" s="306">
        <f t="shared" ca="1" si="446"/>
        <v>5.3230447561331742</v>
      </c>
      <c r="H969" s="307">
        <f t="shared" ca="1" si="447"/>
        <v>-100.43869273448954</v>
      </c>
      <c r="I969" s="304">
        <f t="shared" ca="1" si="448"/>
        <v>100.57964905331993</v>
      </c>
      <c r="J969" s="306">
        <f t="shared" ca="1" si="449"/>
        <v>711.72888807733182</v>
      </c>
      <c r="K969" s="307">
        <f t="shared" ca="1" si="450"/>
        <v>-12.971517416593752</v>
      </c>
      <c r="L969" s="304">
        <f t="shared" ca="1" si="435"/>
        <v>711.84708357054058</v>
      </c>
      <c r="M969" s="306">
        <f t="shared" ca="1" si="451"/>
        <v>-1.5178479138383068</v>
      </c>
      <c r="N969" s="304">
        <f t="shared" ca="1" si="452"/>
        <v>-86.9662794056716</v>
      </c>
      <c r="P969" s="310">
        <f t="shared" ca="1" si="453"/>
        <v>23</v>
      </c>
      <c r="Q969" s="304">
        <f t="shared" ca="1" si="454"/>
        <v>0</v>
      </c>
      <c r="R969" s="306">
        <f t="shared" ca="1" si="455"/>
        <v>0</v>
      </c>
      <c r="S969" s="307">
        <f t="shared" ca="1" si="456"/>
        <v>2.6792999999999987</v>
      </c>
      <c r="T969" s="304">
        <f t="shared" ca="1" si="436"/>
        <v>26.283932999999987</v>
      </c>
      <c r="U969" s="311">
        <f t="shared" ca="1" si="437"/>
        <v>0</v>
      </c>
      <c r="V969" s="306">
        <f t="shared" ca="1" si="438"/>
        <v>1.2265900421465028</v>
      </c>
      <c r="W969" s="304">
        <f t="shared" ca="1" si="439"/>
        <v>25.40929034956217</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0.31271149346710736</v>
      </c>
      <c r="AH969" s="304">
        <f t="shared" ca="1" si="463"/>
        <v>-9.4835401145266225</v>
      </c>
    </row>
    <row r="970" spans="1:34" x14ac:dyDescent="0.2">
      <c r="A970" s="347">
        <f t="shared" ca="1" si="441"/>
        <v>1E-4</v>
      </c>
      <c r="B970" s="304">
        <f t="shared" ca="1" si="442"/>
        <v>36.645200000001708</v>
      </c>
      <c r="D970" s="306">
        <f t="shared" ca="1" si="443"/>
        <v>-0.50190462031270233</v>
      </c>
      <c r="E970" s="307">
        <f t="shared" ca="1" si="444"/>
        <v>-0.33973509502708943</v>
      </c>
      <c r="F970" s="304">
        <f t="shared" ca="1" si="445"/>
        <v>0.60607605354798777</v>
      </c>
      <c r="G970" s="306">
        <f t="shared" ca="1" si="446"/>
        <v>5.3229945656711433</v>
      </c>
      <c r="H970" s="307">
        <f t="shared" ca="1" si="447"/>
        <v>-100.43872670799904</v>
      </c>
      <c r="I970" s="304">
        <f t="shared" ca="1" si="448"/>
        <v>100.57968032296725</v>
      </c>
      <c r="J970" s="306">
        <f t="shared" ca="1" si="449"/>
        <v>711.72888807733182</v>
      </c>
      <c r="K970" s="307">
        <f t="shared" ca="1" si="450"/>
        <v>-12.981561287565876</v>
      </c>
      <c r="L970" s="304">
        <f t="shared" ca="1" si="435"/>
        <v>711.84726666417566</v>
      </c>
      <c r="M970" s="306">
        <f t="shared" ca="1" si="451"/>
        <v>-1.5178484300273221</v>
      </c>
      <c r="N970" s="304">
        <f t="shared" ca="1" si="452"/>
        <v>-86.966308981123603</v>
      </c>
      <c r="P970" s="310">
        <f t="shared" ca="1" si="453"/>
        <v>23</v>
      </c>
      <c r="Q970" s="304">
        <f t="shared" ca="1" si="454"/>
        <v>0</v>
      </c>
      <c r="R970" s="306">
        <f t="shared" ca="1" si="455"/>
        <v>0</v>
      </c>
      <c r="S970" s="307">
        <f t="shared" ca="1" si="456"/>
        <v>2.6792999999999987</v>
      </c>
      <c r="T970" s="304">
        <f t="shared" ca="1" si="436"/>
        <v>26.283932999999987</v>
      </c>
      <c r="U970" s="311">
        <f t="shared" ca="1" si="437"/>
        <v>0</v>
      </c>
      <c r="V970" s="306">
        <f t="shared" ca="1" si="438"/>
        <v>1.2265912741188516</v>
      </c>
      <c r="W970" s="304">
        <f t="shared" ca="1" si="439"/>
        <v>25.409331669578407</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0.31269633926283547</v>
      </c>
      <c r="AH970" s="304">
        <f t="shared" ca="1" si="463"/>
        <v>-9.4835555367305577</v>
      </c>
    </row>
    <row r="971" spans="1:34" x14ac:dyDescent="0.2">
      <c r="A971" s="347">
        <f t="shared" ca="1" si="441"/>
        <v>1E-4</v>
      </c>
      <c r="B971" s="304">
        <f t="shared" ca="1" si="442"/>
        <v>36.645300000001711</v>
      </c>
      <c r="D971" s="306">
        <f t="shared" ca="1" si="443"/>
        <v>-0.50190054804397022</v>
      </c>
      <c r="E971" s="307">
        <f t="shared" ca="1" si="444"/>
        <v>-0.3397194356185782</v>
      </c>
      <c r="F971" s="304">
        <f t="shared" ca="1" si="445"/>
        <v>0.6060639034490034</v>
      </c>
      <c r="G971" s="306">
        <f t="shared" ca="1" si="446"/>
        <v>5.3229443756163386</v>
      </c>
      <c r="H971" s="307">
        <f t="shared" ca="1" si="447"/>
        <v>-100.4387606799426</v>
      </c>
      <c r="I971" s="304">
        <f t="shared" ca="1" si="448"/>
        <v>100.57971159109917</v>
      </c>
      <c r="J971" s="306">
        <f t="shared" ca="1" si="449"/>
        <v>711.72888807733182</v>
      </c>
      <c r="K971" s="307">
        <f t="shared" ca="1" si="450"/>
        <v>-12.991605161935274</v>
      </c>
      <c r="L971" s="304">
        <f t="shared" ca="1" si="435"/>
        <v>711.84744989954049</v>
      </c>
      <c r="M971" s="306">
        <f t="shared" ca="1" si="451"/>
        <v>-1.5178489462111491</v>
      </c>
      <c r="N971" s="304">
        <f t="shared" ca="1" si="452"/>
        <v>-86.966338556278345</v>
      </c>
      <c r="P971" s="310">
        <f t="shared" ca="1" si="453"/>
        <v>23</v>
      </c>
      <c r="Q971" s="304">
        <f t="shared" ca="1" si="454"/>
        <v>0</v>
      </c>
      <c r="R971" s="306">
        <f t="shared" ca="1" si="455"/>
        <v>0</v>
      </c>
      <c r="S971" s="307">
        <f t="shared" ca="1" si="456"/>
        <v>2.6792999999999987</v>
      </c>
      <c r="T971" s="304">
        <f t="shared" ca="1" si="436"/>
        <v>26.283932999999987</v>
      </c>
      <c r="U971" s="311">
        <f t="shared" ca="1" si="437"/>
        <v>0</v>
      </c>
      <c r="V971" s="306">
        <f t="shared" ca="1" si="438"/>
        <v>1.2265925060928562</v>
      </c>
      <c r="W971" s="304">
        <f t="shared" ca="1" si="439"/>
        <v>25.409372988899918</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0.31268118531256839</v>
      </c>
      <c r="AH971" s="304">
        <f t="shared" ca="1" si="463"/>
        <v>-9.483570958675184</v>
      </c>
    </row>
    <row r="972" spans="1:34" x14ac:dyDescent="0.2">
      <c r="A972" s="347">
        <f t="shared" ca="1" si="441"/>
        <v>1E-4</v>
      </c>
      <c r="B972" s="304">
        <f t="shared" ca="1" si="442"/>
        <v>36.645400000001715</v>
      </c>
      <c r="D972" s="306">
        <f t="shared" ca="1" si="443"/>
        <v>-0.5018964757946176</v>
      </c>
      <c r="E972" s="307">
        <f t="shared" ca="1" si="444"/>
        <v>-0.33970377647328398</v>
      </c>
      <c r="F972" s="304">
        <f t="shared" ca="1" si="445"/>
        <v>0.60605175370199871</v>
      </c>
      <c r="G972" s="306">
        <f t="shared" ca="1" si="446"/>
        <v>5.3228941859687593</v>
      </c>
      <c r="H972" s="307">
        <f t="shared" ca="1" si="447"/>
        <v>-100.43879465032025</v>
      </c>
      <c r="I972" s="304">
        <f t="shared" ca="1" si="448"/>
        <v>100.57974285771573</v>
      </c>
      <c r="J972" s="306">
        <f t="shared" ca="1" si="449"/>
        <v>711.72888807733182</v>
      </c>
      <c r="K972" s="307">
        <f t="shared" ca="1" si="450"/>
        <v>-13.001649039701787</v>
      </c>
      <c r="L972" s="304">
        <f t="shared" ca="1" si="435"/>
        <v>711.84763327663507</v>
      </c>
      <c r="M972" s="306">
        <f t="shared" ca="1" si="451"/>
        <v>-1.5178494623897882</v>
      </c>
      <c r="N972" s="304">
        <f t="shared" ca="1" si="452"/>
        <v>-86.966368131135852</v>
      </c>
      <c r="P972" s="310">
        <f t="shared" ca="1" si="453"/>
        <v>23</v>
      </c>
      <c r="Q972" s="304">
        <f t="shared" ca="1" si="454"/>
        <v>0</v>
      </c>
      <c r="R972" s="306">
        <f t="shared" ca="1" si="455"/>
        <v>0</v>
      </c>
      <c r="S972" s="307">
        <f t="shared" ca="1" si="456"/>
        <v>2.6792999999999987</v>
      </c>
      <c r="T972" s="304">
        <f t="shared" ca="1" si="436"/>
        <v>26.283932999999987</v>
      </c>
      <c r="U972" s="311">
        <f t="shared" ca="1" si="437"/>
        <v>0</v>
      </c>
      <c r="V972" s="306">
        <f t="shared" ca="1" si="438"/>
        <v>1.2265937380685152</v>
      </c>
      <c r="W972" s="304">
        <f t="shared" ca="1" si="439"/>
        <v>25.409414307526699</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0.31266603161629192</v>
      </c>
      <c r="AH972" s="304">
        <f t="shared" ca="1" si="463"/>
        <v>-9.4835863803605154</v>
      </c>
    </row>
    <row r="973" spans="1:34" x14ac:dyDescent="0.2">
      <c r="A973" s="347">
        <f t="shared" ca="1" si="441"/>
        <v>1E-4</v>
      </c>
      <c r="B973" s="304">
        <f t="shared" ca="1" si="442"/>
        <v>36.645500000001718</v>
      </c>
      <c r="D973" s="306">
        <f t="shared" ca="1" si="443"/>
        <v>-0.50189240356464082</v>
      </c>
      <c r="E973" s="307">
        <f t="shared" ca="1" si="444"/>
        <v>-0.33968811759120143</v>
      </c>
      <c r="F973" s="304">
        <f t="shared" ca="1" si="445"/>
        <v>0.60603960430696791</v>
      </c>
      <c r="G973" s="306">
        <f t="shared" ca="1" si="446"/>
        <v>5.3228439967284027</v>
      </c>
      <c r="H973" s="307">
        <f t="shared" ca="1" si="447"/>
        <v>-100.43882861913201</v>
      </c>
      <c r="I973" s="304">
        <f t="shared" ca="1" si="448"/>
        <v>100.57977412281696</v>
      </c>
      <c r="J973" s="306">
        <f t="shared" ca="1" si="449"/>
        <v>711.72888807733182</v>
      </c>
      <c r="K973" s="307">
        <f t="shared" ca="1" si="450"/>
        <v>-13.01169292086526</v>
      </c>
      <c r="L973" s="304">
        <f t="shared" ca="1" si="435"/>
        <v>711.84781679545949</v>
      </c>
      <c r="M973" s="306">
        <f t="shared" ca="1" si="451"/>
        <v>-1.5178499785632393</v>
      </c>
      <c r="N973" s="304">
        <f t="shared" ca="1" si="452"/>
        <v>-86.966397705696096</v>
      </c>
      <c r="P973" s="310">
        <f t="shared" ca="1" si="453"/>
        <v>23</v>
      </c>
      <c r="Q973" s="304">
        <f t="shared" ca="1" si="454"/>
        <v>0</v>
      </c>
      <c r="R973" s="306">
        <f t="shared" ca="1" si="455"/>
        <v>0</v>
      </c>
      <c r="S973" s="307">
        <f t="shared" ca="1" si="456"/>
        <v>2.6792999999999987</v>
      </c>
      <c r="T973" s="304">
        <f t="shared" ca="1" si="436"/>
        <v>26.283932999999987</v>
      </c>
      <c r="U973" s="311">
        <f t="shared" ca="1" si="437"/>
        <v>0</v>
      </c>
      <c r="V973" s="306">
        <f t="shared" ca="1" si="438"/>
        <v>1.226594970045829</v>
      </c>
      <c r="W973" s="304">
        <f t="shared" ca="1" si="439"/>
        <v>25.409455625458772</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0.31265087817400428</v>
      </c>
      <c r="AH973" s="304">
        <f t="shared" ca="1" si="463"/>
        <v>-9.4836018017865538</v>
      </c>
    </row>
    <row r="974" spans="1:34" x14ac:dyDescent="0.2">
      <c r="A974" s="347">
        <f t="shared" ca="1" si="441"/>
        <v>1E-4</v>
      </c>
      <c r="B974" s="304">
        <f t="shared" ca="1" si="442"/>
        <v>36.645600000001721</v>
      </c>
      <c r="D974" s="306">
        <f t="shared" ca="1" si="443"/>
        <v>-0.50188833135404309</v>
      </c>
      <c r="E974" s="307">
        <f t="shared" ca="1" si="444"/>
        <v>-0.33967245897233234</v>
      </c>
      <c r="F974" s="304">
        <f t="shared" ca="1" si="445"/>
        <v>0.60602745526391499</v>
      </c>
      <c r="G974" s="306">
        <f t="shared" ca="1" si="446"/>
        <v>5.322793807895267</v>
      </c>
      <c r="H974" s="307">
        <f t="shared" ca="1" si="447"/>
        <v>-100.43886258637791</v>
      </c>
      <c r="I974" s="304">
        <f t="shared" ca="1" si="448"/>
        <v>100.57980538640285</v>
      </c>
      <c r="J974" s="306">
        <f t="shared" ca="1" si="449"/>
        <v>711.72888807733182</v>
      </c>
      <c r="K974" s="307">
        <f t="shared" ca="1" si="450"/>
        <v>-13.021736805425535</v>
      </c>
      <c r="L974" s="304">
        <f t="shared" ca="1" si="435"/>
        <v>711.84800045601366</v>
      </c>
      <c r="M974" s="306">
        <f t="shared" ca="1" si="451"/>
        <v>-1.5178504947315028</v>
      </c>
      <c r="N974" s="304">
        <f t="shared" ca="1" si="452"/>
        <v>-86.966427279959106</v>
      </c>
      <c r="P974" s="310">
        <f t="shared" ca="1" si="453"/>
        <v>23</v>
      </c>
      <c r="Q974" s="304">
        <f t="shared" ca="1" si="454"/>
        <v>0</v>
      </c>
      <c r="R974" s="306">
        <f t="shared" ca="1" si="455"/>
        <v>0</v>
      </c>
      <c r="S974" s="307">
        <f t="shared" ca="1" si="456"/>
        <v>2.6792999999999987</v>
      </c>
      <c r="T974" s="304">
        <f t="shared" ca="1" si="436"/>
        <v>26.283932999999987</v>
      </c>
      <c r="U974" s="311">
        <f t="shared" ca="1" si="437"/>
        <v>0</v>
      </c>
      <c r="V974" s="306">
        <f t="shared" ca="1" si="438"/>
        <v>1.2265962020247976</v>
      </c>
      <c r="W974" s="304">
        <f t="shared" ca="1" si="439"/>
        <v>25.409496942696123</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0.31263572498570369</v>
      </c>
      <c r="AH974" s="304">
        <f t="shared" ca="1" si="463"/>
        <v>-9.4836172229533027</v>
      </c>
    </row>
    <row r="975" spans="1:34" x14ac:dyDescent="0.2">
      <c r="A975" s="347">
        <f t="shared" ca="1" si="441"/>
        <v>1E-4</v>
      </c>
      <c r="B975" s="304">
        <f t="shared" ca="1" si="442"/>
        <v>36.645700000001725</v>
      </c>
      <c r="D975" s="306">
        <f t="shared" ca="1" si="443"/>
        <v>-0.50188425916282042</v>
      </c>
      <c r="E975" s="307">
        <f t="shared" ca="1" si="444"/>
        <v>-0.33965680061667491</v>
      </c>
      <c r="F975" s="304">
        <f t="shared" ca="1" si="445"/>
        <v>0.6060153065728362</v>
      </c>
      <c r="G975" s="306">
        <f t="shared" ca="1" si="446"/>
        <v>5.3227436194693505</v>
      </c>
      <c r="H975" s="307">
        <f t="shared" ca="1" si="447"/>
        <v>-100.43889655205797</v>
      </c>
      <c r="I975" s="304">
        <f t="shared" ca="1" si="448"/>
        <v>100.57983664847345</v>
      </c>
      <c r="J975" s="306">
        <f t="shared" ca="1" si="449"/>
        <v>711.72888807733182</v>
      </c>
      <c r="K975" s="307">
        <f t="shared" ca="1" si="450"/>
        <v>-13.031780693382457</v>
      </c>
      <c r="L975" s="304">
        <f t="shared" ca="1" si="435"/>
        <v>711.84818425829781</v>
      </c>
      <c r="M975" s="306">
        <f t="shared" ca="1" si="451"/>
        <v>-1.5178510108945784</v>
      </c>
      <c r="N975" s="304">
        <f t="shared" ca="1" si="452"/>
        <v>-86.966456853924882</v>
      </c>
      <c r="P975" s="310">
        <f t="shared" ca="1" si="453"/>
        <v>23</v>
      </c>
      <c r="Q975" s="304">
        <f t="shared" ca="1" si="454"/>
        <v>0</v>
      </c>
      <c r="R975" s="306">
        <f t="shared" ca="1" si="455"/>
        <v>0</v>
      </c>
      <c r="S975" s="307">
        <f t="shared" ca="1" si="456"/>
        <v>2.6792999999999987</v>
      </c>
      <c r="T975" s="304">
        <f t="shared" ca="1" si="436"/>
        <v>26.283932999999987</v>
      </c>
      <c r="U975" s="311">
        <f t="shared" ca="1" si="437"/>
        <v>0</v>
      </c>
      <c r="V975" s="306">
        <f t="shared" ca="1" si="438"/>
        <v>1.2265974340054209</v>
      </c>
      <c r="W975" s="304">
        <f t="shared" ca="1" si="439"/>
        <v>25.409538259238786</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0.31262057205139016</v>
      </c>
      <c r="AH975" s="304">
        <f t="shared" ca="1" si="463"/>
        <v>-9.4836326438607603</v>
      </c>
    </row>
    <row r="976" spans="1:34" x14ac:dyDescent="0.2">
      <c r="A976" s="347">
        <f t="shared" ca="1" si="441"/>
        <v>1E-4</v>
      </c>
      <c r="B976" s="304">
        <f t="shared" ca="1" si="442"/>
        <v>36.645800000001728</v>
      </c>
      <c r="D976" s="306">
        <f t="shared" ca="1" si="443"/>
        <v>-0.50188018699097658</v>
      </c>
      <c r="E976" s="307">
        <f t="shared" ca="1" si="444"/>
        <v>-0.33964114252421496</v>
      </c>
      <c r="F976" s="304">
        <f t="shared" ca="1" si="445"/>
        <v>0.60600315823372708</v>
      </c>
      <c r="G976" s="306">
        <f t="shared" ca="1" si="446"/>
        <v>5.3226934314506513</v>
      </c>
      <c r="H976" s="307">
        <f t="shared" ca="1" si="447"/>
        <v>-100.43893051617222</v>
      </c>
      <c r="I976" s="304">
        <f t="shared" ca="1" si="448"/>
        <v>100.57986790902879</v>
      </c>
      <c r="J976" s="306">
        <f t="shared" ca="1" si="449"/>
        <v>711.72888807733182</v>
      </c>
      <c r="K976" s="307">
        <f t="shared" ca="1" si="450"/>
        <v>-13.041824584735869</v>
      </c>
      <c r="L976" s="304">
        <f t="shared" ca="1" si="435"/>
        <v>711.8483682023118</v>
      </c>
      <c r="M976" s="306">
        <f t="shared" ca="1" si="451"/>
        <v>-1.5178515270524662</v>
      </c>
      <c r="N976" s="304">
        <f t="shared" ca="1" si="452"/>
        <v>-86.966486427593409</v>
      </c>
      <c r="P976" s="310">
        <f t="shared" ca="1" si="453"/>
        <v>23</v>
      </c>
      <c r="Q976" s="304">
        <f t="shared" ca="1" si="454"/>
        <v>0</v>
      </c>
      <c r="R976" s="306">
        <f t="shared" ca="1" si="455"/>
        <v>0</v>
      </c>
      <c r="S976" s="307">
        <f t="shared" ca="1" si="456"/>
        <v>2.6792999999999987</v>
      </c>
      <c r="T976" s="304">
        <f t="shared" ca="1" si="436"/>
        <v>26.283932999999987</v>
      </c>
      <c r="U976" s="311">
        <f t="shared" ca="1" si="437"/>
        <v>0</v>
      </c>
      <c r="V976" s="306">
        <f t="shared" ca="1" si="438"/>
        <v>1.2265986659876993</v>
      </c>
      <c r="W976" s="304">
        <f t="shared" ca="1" si="439"/>
        <v>25.409579575086763</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0.31260541937105479</v>
      </c>
      <c r="AH976" s="304">
        <f t="shared" ca="1" si="463"/>
        <v>-9.4836480645089392</v>
      </c>
    </row>
    <row r="977" spans="1:34" x14ac:dyDescent="0.2">
      <c r="A977" s="347">
        <f t="shared" ca="1" si="441"/>
        <v>1E-4</v>
      </c>
      <c r="B977" s="304">
        <f t="shared" ca="1" si="442"/>
        <v>36.645900000001731</v>
      </c>
      <c r="D977" s="306">
        <f t="shared" ca="1" si="443"/>
        <v>-0.5018761148385118</v>
      </c>
      <c r="E977" s="307">
        <f t="shared" ca="1" si="444"/>
        <v>-0.33962548469495957</v>
      </c>
      <c r="F977" s="304">
        <f t="shared" ca="1" si="445"/>
        <v>0.60599101024659208</v>
      </c>
      <c r="G977" s="306">
        <f t="shared" ca="1" si="446"/>
        <v>5.3226432438391678</v>
      </c>
      <c r="H977" s="307">
        <f t="shared" ca="1" si="447"/>
        <v>-100.43896447872069</v>
      </c>
      <c r="I977" s="304">
        <f t="shared" ca="1" si="448"/>
        <v>100.57989916806888</v>
      </c>
      <c r="J977" s="306">
        <f t="shared" ca="1" si="449"/>
        <v>711.72888807733182</v>
      </c>
      <c r="K977" s="307">
        <f t="shared" ca="1" si="450"/>
        <v>-13.051868479485613</v>
      </c>
      <c r="L977" s="304">
        <f t="shared" ca="1" si="435"/>
        <v>711.84855228805577</v>
      </c>
      <c r="M977" s="306">
        <f t="shared" ca="1" si="451"/>
        <v>-1.5178520432051663</v>
      </c>
      <c r="N977" s="304">
        <f t="shared" ca="1" si="452"/>
        <v>-86.966516000964717</v>
      </c>
      <c r="P977" s="310">
        <f t="shared" ca="1" si="453"/>
        <v>23</v>
      </c>
      <c r="Q977" s="304">
        <f t="shared" ca="1" si="454"/>
        <v>0</v>
      </c>
      <c r="R977" s="306">
        <f t="shared" ca="1" si="455"/>
        <v>0</v>
      </c>
      <c r="S977" s="307">
        <f t="shared" ca="1" si="456"/>
        <v>2.6792999999999987</v>
      </c>
      <c r="T977" s="304">
        <f t="shared" ca="1" si="436"/>
        <v>26.283932999999987</v>
      </c>
      <c r="U977" s="311">
        <f t="shared" ca="1" si="437"/>
        <v>0</v>
      </c>
      <c r="V977" s="306">
        <f t="shared" ca="1" si="438"/>
        <v>1.2265998979716322</v>
      </c>
      <c r="W977" s="304">
        <f t="shared" ca="1" si="439"/>
        <v>25.409620890240049</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0.31259026694469405</v>
      </c>
      <c r="AH977" s="304">
        <f t="shared" ca="1" si="463"/>
        <v>-9.4836634848978374</v>
      </c>
    </row>
    <row r="978" spans="1:34" x14ac:dyDescent="0.2">
      <c r="A978" s="347">
        <f t="shared" ca="1" si="441"/>
        <v>1E-4</v>
      </c>
      <c r="B978" s="304">
        <f t="shared" ca="1" si="442"/>
        <v>36.646000000001735</v>
      </c>
      <c r="D978" s="306">
        <f t="shared" ca="1" si="443"/>
        <v>-0.50187204270542485</v>
      </c>
      <c r="E978" s="307">
        <f t="shared" ca="1" si="444"/>
        <v>-0.33960982712890342</v>
      </c>
      <c r="F978" s="304">
        <f t="shared" ca="1" si="445"/>
        <v>0.60597886261142753</v>
      </c>
      <c r="G978" s="306">
        <f t="shared" ca="1" si="446"/>
        <v>5.3225930566348971</v>
      </c>
      <c r="H978" s="307">
        <f t="shared" ca="1" si="447"/>
        <v>-100.43899843970341</v>
      </c>
      <c r="I978" s="304">
        <f t="shared" ca="1" si="448"/>
        <v>100.57993042559376</v>
      </c>
      <c r="J978" s="306">
        <f t="shared" ca="1" si="449"/>
        <v>711.72888807733182</v>
      </c>
      <c r="K978" s="307">
        <f t="shared" ca="1" si="450"/>
        <v>-13.061912377631534</v>
      </c>
      <c r="L978" s="304">
        <f t="shared" ca="1" si="435"/>
        <v>711.84873651552971</v>
      </c>
      <c r="M978" s="306">
        <f t="shared" ca="1" si="451"/>
        <v>-1.5178525593526788</v>
      </c>
      <c r="N978" s="304">
        <f t="shared" ca="1" si="452"/>
        <v>-86.96654557403879</v>
      </c>
      <c r="P978" s="310">
        <f t="shared" ca="1" si="453"/>
        <v>23</v>
      </c>
      <c r="Q978" s="304">
        <f t="shared" ca="1" si="454"/>
        <v>0</v>
      </c>
      <c r="R978" s="306">
        <f t="shared" ca="1" si="455"/>
        <v>0</v>
      </c>
      <c r="S978" s="307">
        <f t="shared" ca="1" si="456"/>
        <v>2.6792999999999987</v>
      </c>
      <c r="T978" s="304">
        <f t="shared" ca="1" si="436"/>
        <v>26.283932999999987</v>
      </c>
      <c r="U978" s="311">
        <f t="shared" ca="1" si="437"/>
        <v>0</v>
      </c>
      <c r="V978" s="306">
        <f t="shared" ca="1" si="438"/>
        <v>1.2266011299572201</v>
      </c>
      <c r="W978" s="304">
        <f t="shared" ca="1" si="439"/>
        <v>25.409662204698684</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0.31257511477231148</v>
      </c>
      <c r="AH978" s="304">
        <f t="shared" ca="1" si="463"/>
        <v>-9.483678905027455</v>
      </c>
    </row>
    <row r="979" spans="1:34" x14ac:dyDescent="0.2">
      <c r="A979" s="347">
        <f t="shared" ca="1" si="441"/>
        <v>1E-4</v>
      </c>
      <c r="B979" s="304">
        <f t="shared" ca="1" si="442"/>
        <v>36.646100000001738</v>
      </c>
      <c r="D979" s="306">
        <f t="shared" ca="1" si="443"/>
        <v>-0.50186797059171706</v>
      </c>
      <c r="E979" s="307">
        <f t="shared" ca="1" si="444"/>
        <v>-0.33959416982603408</v>
      </c>
      <c r="F979" s="304">
        <f t="shared" ca="1" si="445"/>
        <v>0.6059667153282281</v>
      </c>
      <c r="G979" s="306">
        <f t="shared" ca="1" si="446"/>
        <v>5.3225428698378376</v>
      </c>
      <c r="H979" s="307">
        <f t="shared" ca="1" si="447"/>
        <v>-100.43903239912039</v>
      </c>
      <c r="I979" s="304">
        <f t="shared" ca="1" si="448"/>
        <v>100.57996168160345</v>
      </c>
      <c r="J979" s="306">
        <f t="shared" ca="1" si="449"/>
        <v>711.72888807733182</v>
      </c>
      <c r="K979" s="307">
        <f t="shared" ca="1" si="450"/>
        <v>-13.071956279173476</v>
      </c>
      <c r="L979" s="304">
        <f t="shared" ca="1" si="435"/>
        <v>711.84892088473362</v>
      </c>
      <c r="M979" s="306">
        <f t="shared" ca="1" si="451"/>
        <v>-1.5178530754950037</v>
      </c>
      <c r="N979" s="304">
        <f t="shared" ca="1" si="452"/>
        <v>-86.966575146815629</v>
      </c>
      <c r="P979" s="310">
        <f t="shared" ca="1" si="453"/>
        <v>23</v>
      </c>
      <c r="Q979" s="304">
        <f t="shared" ca="1" si="454"/>
        <v>0</v>
      </c>
      <c r="R979" s="306">
        <f t="shared" ca="1" si="455"/>
        <v>0</v>
      </c>
      <c r="S979" s="307">
        <f t="shared" ca="1" si="456"/>
        <v>2.6792999999999987</v>
      </c>
      <c r="T979" s="304">
        <f t="shared" ca="1" si="436"/>
        <v>26.283932999999987</v>
      </c>
      <c r="U979" s="311">
        <f t="shared" ca="1" si="437"/>
        <v>0</v>
      </c>
      <c r="V979" s="306">
        <f t="shared" ca="1" si="438"/>
        <v>1.226602361944463</v>
      </c>
      <c r="W979" s="304">
        <f t="shared" ca="1" si="439"/>
        <v>25.409703518462667</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0.31255996285388932</v>
      </c>
      <c r="AH979" s="304">
        <f t="shared" ca="1" si="463"/>
        <v>-9.4836943248978081</v>
      </c>
    </row>
    <row r="980" spans="1:34" x14ac:dyDescent="0.2">
      <c r="A980" s="347">
        <f t="shared" ca="1" si="441"/>
        <v>1E-4</v>
      </c>
      <c r="B980" s="304">
        <f t="shared" ca="1" si="442"/>
        <v>36.646200000001741</v>
      </c>
      <c r="D980" s="306">
        <f t="shared" ca="1" si="443"/>
        <v>-0.5018638984973891</v>
      </c>
      <c r="E980" s="307">
        <f t="shared" ca="1" si="444"/>
        <v>-0.33957851278635154</v>
      </c>
      <c r="F980" s="304">
        <f t="shared" ca="1" si="445"/>
        <v>0.60595456839699458</v>
      </c>
      <c r="G980" s="306">
        <f t="shared" ca="1" si="446"/>
        <v>5.3224926834479875</v>
      </c>
      <c r="H980" s="307">
        <f t="shared" ca="1" si="447"/>
        <v>-100.43906635697167</v>
      </c>
      <c r="I980" s="304">
        <f t="shared" ca="1" si="448"/>
        <v>100.57999293609795</v>
      </c>
      <c r="J980" s="306">
        <f t="shared" ca="1" si="449"/>
        <v>711.72888807733182</v>
      </c>
      <c r="K980" s="307">
        <f t="shared" ca="1" si="450"/>
        <v>-13.08200018411128</v>
      </c>
      <c r="L980" s="304">
        <f t="shared" ca="1" si="435"/>
        <v>711.84910539566761</v>
      </c>
      <c r="M980" s="306">
        <f t="shared" ca="1" si="451"/>
        <v>-1.5178535916321412</v>
      </c>
      <c r="N980" s="304">
        <f t="shared" ca="1" si="452"/>
        <v>-86.966604719295262</v>
      </c>
      <c r="P980" s="310">
        <f t="shared" ca="1" si="453"/>
        <v>23</v>
      </c>
      <c r="Q980" s="304">
        <f t="shared" ca="1" si="454"/>
        <v>0</v>
      </c>
      <c r="R980" s="306">
        <f t="shared" ca="1" si="455"/>
        <v>0</v>
      </c>
      <c r="S980" s="307">
        <f t="shared" ca="1" si="456"/>
        <v>2.6792999999999987</v>
      </c>
      <c r="T980" s="304">
        <f t="shared" ca="1" si="436"/>
        <v>26.283932999999987</v>
      </c>
      <c r="U980" s="311">
        <f t="shared" ca="1" si="437"/>
        <v>0</v>
      </c>
      <c r="V980" s="306">
        <f t="shared" ca="1" si="438"/>
        <v>1.2266035939333606</v>
      </c>
      <c r="W980" s="304">
        <f t="shared" ca="1" si="439"/>
        <v>25.409744831531981</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0.31254481118943467</v>
      </c>
      <c r="AH980" s="304">
        <f t="shared" ca="1" si="463"/>
        <v>-9.4837097445088947</v>
      </c>
    </row>
    <row r="981" spans="1:34" x14ac:dyDescent="0.2">
      <c r="A981" s="347">
        <f t="shared" ca="1" si="441"/>
        <v>1E-4</v>
      </c>
      <c r="B981" s="304">
        <f t="shared" ca="1" si="442"/>
        <v>36.646300000001744</v>
      </c>
      <c r="D981" s="306">
        <f t="shared" ca="1" si="443"/>
        <v>-0.50185982642243898</v>
      </c>
      <c r="E981" s="307">
        <f t="shared" ca="1" si="444"/>
        <v>-0.33956285600986469</v>
      </c>
      <c r="F981" s="304">
        <f t="shared" ca="1" si="445"/>
        <v>0.60594242181773061</v>
      </c>
      <c r="G981" s="306">
        <f t="shared" ca="1" si="446"/>
        <v>5.322442497465345</v>
      </c>
      <c r="H981" s="307">
        <f t="shared" ca="1" si="447"/>
        <v>-100.43910031325727</v>
      </c>
      <c r="I981" s="304">
        <f t="shared" ca="1" si="448"/>
        <v>100.58002418907733</v>
      </c>
      <c r="J981" s="306">
        <f t="shared" ca="1" si="449"/>
        <v>711.72888807733182</v>
      </c>
      <c r="K981" s="307">
        <f t="shared" ca="1" si="450"/>
        <v>-13.092044092444791</v>
      </c>
      <c r="L981" s="304">
        <f t="shared" ca="1" si="435"/>
        <v>711.84929004833157</v>
      </c>
      <c r="M981" s="306">
        <f t="shared" ca="1" si="451"/>
        <v>-1.5178541077640912</v>
      </c>
      <c r="N981" s="304">
        <f t="shared" ca="1" si="452"/>
        <v>-86.966634291477661</v>
      </c>
      <c r="P981" s="310">
        <f t="shared" ca="1" si="453"/>
        <v>23</v>
      </c>
      <c r="Q981" s="304">
        <f t="shared" ca="1" si="454"/>
        <v>0</v>
      </c>
      <c r="R981" s="306">
        <f t="shared" ca="1" si="455"/>
        <v>0</v>
      </c>
      <c r="S981" s="307">
        <f t="shared" ca="1" si="456"/>
        <v>2.6792999999999987</v>
      </c>
      <c r="T981" s="304">
        <f t="shared" ca="1" si="436"/>
        <v>26.283932999999987</v>
      </c>
      <c r="U981" s="311">
        <f t="shared" ca="1" si="437"/>
        <v>0</v>
      </c>
      <c r="V981" s="306">
        <f t="shared" ca="1" si="438"/>
        <v>1.2266048259239124</v>
      </c>
      <c r="W981" s="304">
        <f t="shared" ca="1" si="439"/>
        <v>25.409786143906658</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0.31252965977894753</v>
      </c>
      <c r="AH981" s="304">
        <f t="shared" ca="1" si="463"/>
        <v>-9.4837251638607079</v>
      </c>
    </row>
    <row r="982" spans="1:34" x14ac:dyDescent="0.2">
      <c r="A982" s="347">
        <f t="shared" ca="1" si="441"/>
        <v>1E-4</v>
      </c>
      <c r="B982" s="304">
        <f t="shared" ca="1" si="442"/>
        <v>36.646400000001748</v>
      </c>
      <c r="D982" s="306">
        <f t="shared" ca="1" si="443"/>
        <v>-0.50185575436686813</v>
      </c>
      <c r="E982" s="307">
        <f t="shared" ca="1" si="444"/>
        <v>-0.33954719949655754</v>
      </c>
      <c r="F982" s="304">
        <f t="shared" ca="1" si="445"/>
        <v>0.60593027559042911</v>
      </c>
      <c r="G982" s="306">
        <f t="shared" ca="1" si="446"/>
        <v>5.3223923118899084</v>
      </c>
      <c r="H982" s="307">
        <f t="shared" ca="1" si="447"/>
        <v>-100.43913426797722</v>
      </c>
      <c r="I982" s="304">
        <f t="shared" ca="1" si="448"/>
        <v>100.5800554405416</v>
      </c>
      <c r="J982" s="306">
        <f t="shared" ca="1" si="449"/>
        <v>711.72888807733182</v>
      </c>
      <c r="K982" s="307">
        <f t="shared" ca="1" si="450"/>
        <v>-13.102088004173853</v>
      </c>
      <c r="L982" s="304">
        <f t="shared" ca="1" si="435"/>
        <v>711.84947484272561</v>
      </c>
      <c r="M982" s="306">
        <f t="shared" ca="1" si="451"/>
        <v>-1.5178546238908539</v>
      </c>
      <c r="N982" s="304">
        <f t="shared" ca="1" si="452"/>
        <v>-86.966663863362868</v>
      </c>
      <c r="P982" s="310">
        <f t="shared" ca="1" si="453"/>
        <v>23</v>
      </c>
      <c r="Q982" s="304">
        <f t="shared" ca="1" si="454"/>
        <v>0</v>
      </c>
      <c r="R982" s="306">
        <f t="shared" ca="1" si="455"/>
        <v>0</v>
      </c>
      <c r="S982" s="307">
        <f t="shared" ca="1" si="456"/>
        <v>2.6792999999999987</v>
      </c>
      <c r="T982" s="304">
        <f t="shared" ca="1" si="436"/>
        <v>26.283932999999987</v>
      </c>
      <c r="U982" s="311">
        <f t="shared" ca="1" si="437"/>
        <v>0</v>
      </c>
      <c r="V982" s="306">
        <f t="shared" ca="1" si="438"/>
        <v>1.2266060579161191</v>
      </c>
      <c r="W982" s="304">
        <f t="shared" ca="1" si="439"/>
        <v>25.409827455586704</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0.31251450862241903</v>
      </c>
      <c r="AH982" s="304">
        <f t="shared" ca="1" si="463"/>
        <v>-9.4837405829532599</v>
      </c>
    </row>
    <row r="983" spans="1:34" x14ac:dyDescent="0.2">
      <c r="A983" s="347">
        <f t="shared" ca="1" si="441"/>
        <v>1E-4</v>
      </c>
      <c r="B983" s="304">
        <f t="shared" ca="1" si="442"/>
        <v>36.646500000001751</v>
      </c>
      <c r="D983" s="306">
        <f t="shared" ca="1" si="443"/>
        <v>-0.50185168233067745</v>
      </c>
      <c r="E983" s="307">
        <f t="shared" ca="1" si="444"/>
        <v>-0.33953154324643009</v>
      </c>
      <c r="F983" s="304">
        <f t="shared" ca="1" si="445"/>
        <v>0.60591812971509085</v>
      </c>
      <c r="G983" s="306">
        <f t="shared" ca="1" si="446"/>
        <v>5.3223421267216757</v>
      </c>
      <c r="H983" s="307">
        <f t="shared" ca="1" si="447"/>
        <v>-100.43916822113155</v>
      </c>
      <c r="I983" s="304">
        <f t="shared" ca="1" si="448"/>
        <v>100.58008669049076</v>
      </c>
      <c r="J983" s="306">
        <f t="shared" ca="1" si="449"/>
        <v>711.72888807733182</v>
      </c>
      <c r="K983" s="307">
        <f t="shared" ca="1" si="450"/>
        <v>-13.112131919298308</v>
      </c>
      <c r="L983" s="304">
        <f t="shared" ca="1" si="435"/>
        <v>711.84965977884974</v>
      </c>
      <c r="M983" s="306">
        <f t="shared" ca="1" si="451"/>
        <v>-1.5178551400124294</v>
      </c>
      <c r="N983" s="304">
        <f t="shared" ca="1" si="452"/>
        <v>-86.966693434950855</v>
      </c>
      <c r="P983" s="310">
        <f t="shared" ca="1" si="453"/>
        <v>23</v>
      </c>
      <c r="Q983" s="304">
        <f t="shared" ca="1" si="454"/>
        <v>0</v>
      </c>
      <c r="R983" s="306">
        <f t="shared" ca="1" si="455"/>
        <v>0</v>
      </c>
      <c r="S983" s="307">
        <f t="shared" ca="1" si="456"/>
        <v>2.6792999999999987</v>
      </c>
      <c r="T983" s="304">
        <f t="shared" ca="1" si="436"/>
        <v>26.283932999999987</v>
      </c>
      <c r="U983" s="311">
        <f t="shared" ca="1" si="437"/>
        <v>0</v>
      </c>
      <c r="V983" s="306">
        <f t="shared" ca="1" si="438"/>
        <v>1.2266072899099805</v>
      </c>
      <c r="W983" s="304">
        <f t="shared" ca="1" si="439"/>
        <v>25.409868766572131</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0.31249935771984738</v>
      </c>
      <c r="AH983" s="304">
        <f t="shared" ca="1" si="463"/>
        <v>-9.4837560017865545</v>
      </c>
    </row>
    <row r="984" spans="1:34" x14ac:dyDescent="0.2">
      <c r="A984" s="347">
        <f t="shared" ca="1" si="441"/>
        <v>1E-4</v>
      </c>
      <c r="B984" s="304">
        <f t="shared" ca="1" si="442"/>
        <v>36.646600000001754</v>
      </c>
      <c r="D984" s="306">
        <f t="shared" ca="1" si="443"/>
        <v>-0.50184761031386549</v>
      </c>
      <c r="E984" s="307">
        <f t="shared" ca="1" si="444"/>
        <v>-0.33951588725947701</v>
      </c>
      <c r="F984" s="304">
        <f t="shared" ca="1" si="445"/>
        <v>0.60590598419171215</v>
      </c>
      <c r="G984" s="306">
        <f t="shared" ca="1" si="446"/>
        <v>5.3222919419606445</v>
      </c>
      <c r="H984" s="307">
        <f t="shared" ca="1" si="447"/>
        <v>-100.43920217272027</v>
      </c>
      <c r="I984" s="304">
        <f t="shared" ca="1" si="448"/>
        <v>100.58011793892487</v>
      </c>
      <c r="J984" s="306">
        <f t="shared" ca="1" si="449"/>
        <v>711.72888807733182</v>
      </c>
      <c r="K984" s="307">
        <f t="shared" ca="1" si="450"/>
        <v>-13.122175837818</v>
      </c>
      <c r="L984" s="304">
        <f t="shared" ca="1" si="435"/>
        <v>711.84984485670418</v>
      </c>
      <c r="M984" s="306">
        <f t="shared" ca="1" si="451"/>
        <v>-1.5178556561288175</v>
      </c>
      <c r="N984" s="304">
        <f t="shared" ca="1" si="452"/>
        <v>-86.966723006241622</v>
      </c>
      <c r="P984" s="310">
        <f t="shared" ca="1" si="453"/>
        <v>23</v>
      </c>
      <c r="Q984" s="304">
        <f t="shared" ca="1" si="454"/>
        <v>0</v>
      </c>
      <c r="R984" s="306">
        <f t="shared" ca="1" si="455"/>
        <v>0</v>
      </c>
      <c r="S984" s="307">
        <f t="shared" ca="1" si="456"/>
        <v>2.6792999999999987</v>
      </c>
      <c r="T984" s="304">
        <f t="shared" ca="1" si="436"/>
        <v>26.283932999999987</v>
      </c>
      <c r="U984" s="311">
        <f t="shared" ca="1" si="437"/>
        <v>0</v>
      </c>
      <c r="V984" s="306">
        <f t="shared" ca="1" si="438"/>
        <v>1.2266085219054972</v>
      </c>
      <c r="W984" s="304">
        <f t="shared" ca="1" si="439"/>
        <v>25.40991007686296</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0.31248420707122548</v>
      </c>
      <c r="AH984" s="304">
        <f t="shared" ca="1" si="463"/>
        <v>-9.4837714203605952</v>
      </c>
    </row>
    <row r="985" spans="1:34" x14ac:dyDescent="0.2">
      <c r="A985" s="347">
        <f t="shared" ca="1" si="441"/>
        <v>1E-4</v>
      </c>
      <c r="B985" s="304">
        <f t="shared" ca="1" si="442"/>
        <v>36.646700000001758</v>
      </c>
      <c r="D985" s="306">
        <f t="shared" ca="1" si="443"/>
        <v>-0.50184353831643569</v>
      </c>
      <c r="E985" s="307">
        <f t="shared" ca="1" si="444"/>
        <v>-0.33950023153568765</v>
      </c>
      <c r="F985" s="304">
        <f t="shared" ca="1" si="445"/>
        <v>0.60589383902029026</v>
      </c>
      <c r="G985" s="306">
        <f t="shared" ca="1" si="446"/>
        <v>5.3222417576068128</v>
      </c>
      <c r="H985" s="307">
        <f t="shared" ca="1" si="447"/>
        <v>-100.43923612274342</v>
      </c>
      <c r="I985" s="304">
        <f t="shared" ca="1" si="448"/>
        <v>100.58014918584392</v>
      </c>
      <c r="J985" s="306">
        <f t="shared" ca="1" si="449"/>
        <v>711.72888807733182</v>
      </c>
      <c r="K985" s="307">
        <f t="shared" ca="1" si="450"/>
        <v>-13.132219759732774</v>
      </c>
      <c r="L985" s="304">
        <f t="shared" ca="1" si="435"/>
        <v>711.8500300762887</v>
      </c>
      <c r="M985" s="306">
        <f t="shared" ca="1" si="451"/>
        <v>-1.5178561722400183</v>
      </c>
      <c r="N985" s="304">
        <f t="shared" ca="1" si="452"/>
        <v>-86.966752577235198</v>
      </c>
      <c r="P985" s="310">
        <f t="shared" ca="1" si="453"/>
        <v>23</v>
      </c>
      <c r="Q985" s="304">
        <f t="shared" ca="1" si="454"/>
        <v>0</v>
      </c>
      <c r="R985" s="306">
        <f t="shared" ca="1" si="455"/>
        <v>0</v>
      </c>
      <c r="S985" s="307">
        <f t="shared" ca="1" si="456"/>
        <v>2.6792999999999987</v>
      </c>
      <c r="T985" s="304">
        <f t="shared" ca="1" si="436"/>
        <v>26.283932999999987</v>
      </c>
      <c r="U985" s="311">
        <f t="shared" ca="1" si="437"/>
        <v>0</v>
      </c>
      <c r="V985" s="306">
        <f t="shared" ca="1" si="438"/>
        <v>1.2266097539026677</v>
      </c>
      <c r="W985" s="304">
        <f t="shared" ca="1" si="439"/>
        <v>25.409951386459159</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0.31246905667654623</v>
      </c>
      <c r="AH985" s="304">
        <f t="shared" ca="1" si="463"/>
        <v>-9.4837868386753907</v>
      </c>
    </row>
    <row r="986" spans="1:34" x14ac:dyDescent="0.2">
      <c r="A986" s="347">
        <f t="shared" ca="1" si="441"/>
        <v>1E-4</v>
      </c>
      <c r="B986" s="304">
        <f t="shared" ca="1" si="442"/>
        <v>36.646800000001761</v>
      </c>
      <c r="D986" s="306">
        <f t="shared" ca="1" si="443"/>
        <v>-0.50183946633838561</v>
      </c>
      <c r="E986" s="307">
        <f t="shared" ca="1" si="444"/>
        <v>-0.33948457607507976</v>
      </c>
      <c r="F986" s="304">
        <f t="shared" ca="1" si="445"/>
        <v>0.60588169420083349</v>
      </c>
      <c r="G986" s="306">
        <f t="shared" ca="1" si="446"/>
        <v>5.322191573660179</v>
      </c>
      <c r="H986" s="307">
        <f t="shared" ca="1" si="447"/>
        <v>-100.43927007120104</v>
      </c>
      <c r="I986" s="304">
        <f t="shared" ca="1" si="448"/>
        <v>100.58018043124798</v>
      </c>
      <c r="J986" s="306">
        <f t="shared" ca="1" si="449"/>
        <v>711.72888807733182</v>
      </c>
      <c r="K986" s="307">
        <f t="shared" ca="1" si="450"/>
        <v>-13.142263685042471</v>
      </c>
      <c r="L986" s="304">
        <f t="shared" ca="1" si="435"/>
        <v>711.85021543760331</v>
      </c>
      <c r="M986" s="306">
        <f t="shared" ca="1" si="451"/>
        <v>-1.5178566883460323</v>
      </c>
      <c r="N986" s="304">
        <f t="shared" ca="1" si="452"/>
        <v>-86.966782147931582</v>
      </c>
      <c r="P986" s="310">
        <f t="shared" ca="1" si="453"/>
        <v>23</v>
      </c>
      <c r="Q986" s="304">
        <f t="shared" ca="1" si="454"/>
        <v>0</v>
      </c>
      <c r="R986" s="306">
        <f t="shared" ca="1" si="455"/>
        <v>0</v>
      </c>
      <c r="S986" s="307">
        <f t="shared" ca="1" si="456"/>
        <v>2.6792999999999987</v>
      </c>
      <c r="T986" s="304">
        <f t="shared" ca="1" si="436"/>
        <v>26.283932999999987</v>
      </c>
      <c r="U986" s="311">
        <f t="shared" ca="1" si="437"/>
        <v>0</v>
      </c>
      <c r="V986" s="306">
        <f t="shared" ca="1" si="438"/>
        <v>1.2266109859014935</v>
      </c>
      <c r="W986" s="304">
        <f t="shared" ca="1" si="439"/>
        <v>25.409992695360796</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0.31245390653582561</v>
      </c>
      <c r="AH986" s="304">
        <f t="shared" ca="1" si="463"/>
        <v>-9.483802256730927</v>
      </c>
    </row>
    <row r="987" spans="1:34" x14ac:dyDescent="0.2">
      <c r="A987" s="347">
        <f t="shared" ca="1" si="441"/>
        <v>1E-4</v>
      </c>
      <c r="B987" s="304">
        <f t="shared" ca="1" si="442"/>
        <v>36.646900000001764</v>
      </c>
      <c r="D987" s="306">
        <f t="shared" ca="1" si="443"/>
        <v>-0.50183539437971536</v>
      </c>
      <c r="E987" s="307">
        <f t="shared" ca="1" si="444"/>
        <v>-0.33946892087762492</v>
      </c>
      <c r="F987" s="304">
        <f t="shared" ca="1" si="445"/>
        <v>0.60586954973332641</v>
      </c>
      <c r="G987" s="306">
        <f t="shared" ca="1" si="446"/>
        <v>5.3221413901207413</v>
      </c>
      <c r="H987" s="307">
        <f t="shared" ca="1" si="447"/>
        <v>-100.43930401809313</v>
      </c>
      <c r="I987" s="304">
        <f t="shared" ca="1" si="448"/>
        <v>100.58021167513705</v>
      </c>
      <c r="J987" s="306">
        <f t="shared" ca="1" si="449"/>
        <v>711.72888807733182</v>
      </c>
      <c r="K987" s="307">
        <f t="shared" ca="1" si="450"/>
        <v>-13.152307613746935</v>
      </c>
      <c r="L987" s="304">
        <f t="shared" ca="1" si="435"/>
        <v>711.85040094064834</v>
      </c>
      <c r="M987" s="306">
        <f t="shared" ca="1" si="451"/>
        <v>-1.517857204446859</v>
      </c>
      <c r="N987" s="304">
        <f t="shared" ca="1" si="452"/>
        <v>-86.966811718330746</v>
      </c>
      <c r="P987" s="310">
        <f t="shared" ca="1" si="453"/>
        <v>23</v>
      </c>
      <c r="Q987" s="304">
        <f t="shared" ca="1" si="454"/>
        <v>0</v>
      </c>
      <c r="R987" s="306">
        <f t="shared" ca="1" si="455"/>
        <v>0</v>
      </c>
      <c r="S987" s="307">
        <f t="shared" ca="1" si="456"/>
        <v>2.6792999999999987</v>
      </c>
      <c r="T987" s="304">
        <f t="shared" ca="1" si="436"/>
        <v>26.283932999999987</v>
      </c>
      <c r="U987" s="311">
        <f t="shared" ca="1" si="437"/>
        <v>0</v>
      </c>
      <c r="V987" s="306">
        <f t="shared" ca="1" si="438"/>
        <v>1.2266122179019732</v>
      </c>
      <c r="W987" s="304">
        <f t="shared" ca="1" si="439"/>
        <v>25.410034003567834</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0.31243875664903342</v>
      </c>
      <c r="AH987" s="304">
        <f t="shared" ca="1" si="463"/>
        <v>-9.4838176745272307</v>
      </c>
    </row>
    <row r="988" spans="1:34" x14ac:dyDescent="0.2">
      <c r="A988" s="347">
        <f t="shared" ca="1" si="441"/>
        <v>1E-4</v>
      </c>
      <c r="B988" s="304">
        <f t="shared" ca="1" si="442"/>
        <v>36.647000000001768</v>
      </c>
      <c r="D988" s="306">
        <f t="shared" ca="1" si="443"/>
        <v>-0.50183132244042672</v>
      </c>
      <c r="E988" s="307">
        <f t="shared" ca="1" si="444"/>
        <v>-0.33945326594333558</v>
      </c>
      <c r="F988" s="304">
        <f t="shared" ca="1" si="445"/>
        <v>0.60585740561777768</v>
      </c>
      <c r="G988" s="306">
        <f t="shared" ca="1" si="446"/>
        <v>5.3220912069884969</v>
      </c>
      <c r="H988" s="307">
        <f t="shared" ca="1" si="447"/>
        <v>-100.43933796341972</v>
      </c>
      <c r="I988" s="304">
        <f t="shared" ca="1" si="448"/>
        <v>100.58024291751113</v>
      </c>
      <c r="J988" s="306">
        <f t="shared" ca="1" si="449"/>
        <v>711.72888807733182</v>
      </c>
      <c r="K988" s="307">
        <f t="shared" ca="1" si="450"/>
        <v>-13.162351545846009</v>
      </c>
      <c r="L988" s="304">
        <f t="shared" ca="1" si="435"/>
        <v>711.85058658542357</v>
      </c>
      <c r="M988" s="306">
        <f t="shared" ca="1" si="451"/>
        <v>-1.5178577205424988</v>
      </c>
      <c r="N988" s="304">
        <f t="shared" ca="1" si="452"/>
        <v>-86.966841288432732</v>
      </c>
      <c r="P988" s="310">
        <f t="shared" ca="1" si="453"/>
        <v>23</v>
      </c>
      <c r="Q988" s="304">
        <f t="shared" ca="1" si="454"/>
        <v>0</v>
      </c>
      <c r="R988" s="306">
        <f t="shared" ca="1" si="455"/>
        <v>0</v>
      </c>
      <c r="S988" s="307">
        <f t="shared" ca="1" si="456"/>
        <v>2.6792999999999987</v>
      </c>
      <c r="T988" s="304">
        <f t="shared" ca="1" si="436"/>
        <v>26.283932999999987</v>
      </c>
      <c r="U988" s="311">
        <f t="shared" ca="1" si="437"/>
        <v>0</v>
      </c>
      <c r="V988" s="306">
        <f t="shared" ca="1" si="438"/>
        <v>1.2266134499041081</v>
      </c>
      <c r="W988" s="304">
        <f t="shared" ca="1" si="439"/>
        <v>25.410075311080291</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0.31242360701618743</v>
      </c>
      <c r="AH988" s="304">
        <f t="shared" ca="1" si="463"/>
        <v>-9.4838330920642875</v>
      </c>
    </row>
    <row r="989" spans="1:34" x14ac:dyDescent="0.2">
      <c r="A989" s="347">
        <f t="shared" ca="1" si="441"/>
        <v>1E-4</v>
      </c>
      <c r="B989" s="304">
        <f t="shared" ca="1" si="442"/>
        <v>36.647100000001771</v>
      </c>
      <c r="D989" s="306">
        <f t="shared" ca="1" si="443"/>
        <v>-0.50182725052051902</v>
      </c>
      <c r="E989" s="307">
        <f t="shared" ca="1" si="444"/>
        <v>-0.3394376112722064</v>
      </c>
      <c r="F989" s="304">
        <f t="shared" ca="1" si="445"/>
        <v>0.60584526185418441</v>
      </c>
      <c r="G989" s="306">
        <f t="shared" ca="1" si="446"/>
        <v>5.3220410242634451</v>
      </c>
      <c r="H989" s="307">
        <f t="shared" ca="1" si="447"/>
        <v>-100.43937190718084</v>
      </c>
      <c r="I989" s="304">
        <f t="shared" ca="1" si="448"/>
        <v>100.5802741583703</v>
      </c>
      <c r="J989" s="306">
        <f t="shared" ca="1" si="449"/>
        <v>711.72888807733182</v>
      </c>
      <c r="K989" s="307">
        <f t="shared" ca="1" si="450"/>
        <v>-13.172395481339539</v>
      </c>
      <c r="L989" s="304">
        <f t="shared" ca="1" si="435"/>
        <v>711.85077237192911</v>
      </c>
      <c r="M989" s="306">
        <f t="shared" ca="1" si="451"/>
        <v>-1.5178582366329516</v>
      </c>
      <c r="N989" s="304">
        <f t="shared" ca="1" si="452"/>
        <v>-86.966870858237527</v>
      </c>
      <c r="P989" s="310">
        <f t="shared" ca="1" si="453"/>
        <v>23</v>
      </c>
      <c r="Q989" s="304">
        <f t="shared" ca="1" si="454"/>
        <v>0</v>
      </c>
      <c r="R989" s="306">
        <f t="shared" ca="1" si="455"/>
        <v>0</v>
      </c>
      <c r="S989" s="307">
        <f t="shared" ca="1" si="456"/>
        <v>2.6792999999999987</v>
      </c>
      <c r="T989" s="304">
        <f t="shared" ca="1" si="436"/>
        <v>26.283932999999987</v>
      </c>
      <c r="U989" s="311">
        <f t="shared" ca="1" si="437"/>
        <v>0</v>
      </c>
      <c r="V989" s="306">
        <f t="shared" ca="1" si="438"/>
        <v>1.2266146819078974</v>
      </c>
      <c r="W989" s="304">
        <f t="shared" ca="1" si="439"/>
        <v>25.410116617898201</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0.31240845763727876</v>
      </c>
      <c r="AH989" s="304">
        <f t="shared" ca="1" si="463"/>
        <v>-9.4838485093421063</v>
      </c>
    </row>
    <row r="990" spans="1:34" x14ac:dyDescent="0.2">
      <c r="A990" s="347">
        <f t="shared" ca="1" si="441"/>
        <v>1E-4</v>
      </c>
      <c r="B990" s="304">
        <f t="shared" ca="1" si="442"/>
        <v>36.647200000001774</v>
      </c>
      <c r="D990" s="306">
        <f t="shared" ca="1" si="443"/>
        <v>-0.50182317861999315</v>
      </c>
      <c r="E990" s="307">
        <f t="shared" ca="1" si="444"/>
        <v>-0.33942195686422494</v>
      </c>
      <c r="F990" s="304">
        <f t="shared" ca="1" si="445"/>
        <v>0.60583311844254051</v>
      </c>
      <c r="G990" s="306">
        <f t="shared" ca="1" si="446"/>
        <v>5.321990841945583</v>
      </c>
      <c r="H990" s="307">
        <f t="shared" ca="1" si="447"/>
        <v>-100.43940584937653</v>
      </c>
      <c r="I990" s="304">
        <f t="shared" ca="1" si="448"/>
        <v>100.58030539771453</v>
      </c>
      <c r="J990" s="306">
        <f t="shared" ca="1" si="449"/>
        <v>711.72888807733182</v>
      </c>
      <c r="K990" s="307">
        <f t="shared" ca="1" si="450"/>
        <v>-13.182439420227366</v>
      </c>
      <c r="L990" s="304">
        <f t="shared" ca="1" si="435"/>
        <v>711.85095830016496</v>
      </c>
      <c r="M990" s="306">
        <f t="shared" ca="1" si="451"/>
        <v>-1.5178587527182175</v>
      </c>
      <c r="N990" s="304">
        <f t="shared" ca="1" si="452"/>
        <v>-86.966900427745131</v>
      </c>
      <c r="P990" s="310">
        <f t="shared" ca="1" si="453"/>
        <v>23</v>
      </c>
      <c r="Q990" s="304">
        <f t="shared" ca="1" si="454"/>
        <v>0</v>
      </c>
      <c r="R990" s="306">
        <f t="shared" ca="1" si="455"/>
        <v>0</v>
      </c>
      <c r="S990" s="307">
        <f t="shared" ca="1" si="456"/>
        <v>2.6792999999999987</v>
      </c>
      <c r="T990" s="304">
        <f t="shared" ca="1" si="436"/>
        <v>26.283932999999987</v>
      </c>
      <c r="U990" s="311">
        <f t="shared" ca="1" si="437"/>
        <v>0</v>
      </c>
      <c r="V990" s="306">
        <f t="shared" ca="1" si="438"/>
        <v>1.2266159139133415</v>
      </c>
      <c r="W990" s="304">
        <f t="shared" ca="1" si="439"/>
        <v>25.410157924021544</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0.31239330851229674</v>
      </c>
      <c r="AH990" s="304">
        <f t="shared" ca="1" si="463"/>
        <v>-9.4838639263606961</v>
      </c>
    </row>
    <row r="991" spans="1:34" x14ac:dyDescent="0.2">
      <c r="A991" s="347">
        <f t="shared" ca="1" si="441"/>
        <v>1E-4</v>
      </c>
      <c r="B991" s="304">
        <f t="shared" ca="1" si="442"/>
        <v>36.647300000001778</v>
      </c>
      <c r="D991" s="306">
        <f t="shared" ca="1" si="443"/>
        <v>-0.50181910673884955</v>
      </c>
      <c r="E991" s="307">
        <f t="shared" ca="1" si="444"/>
        <v>-0.33940630271940009</v>
      </c>
      <c r="F991" s="304">
        <f t="shared" ca="1" si="445"/>
        <v>0.60582097538285185</v>
      </c>
      <c r="G991" s="306">
        <f t="shared" ca="1" si="446"/>
        <v>5.3219406600349091</v>
      </c>
      <c r="H991" s="307">
        <f t="shared" ca="1" si="447"/>
        <v>-100.4394397900068</v>
      </c>
      <c r="I991" s="304">
        <f t="shared" ca="1" si="448"/>
        <v>100.5803366355439</v>
      </c>
      <c r="J991" s="306">
        <f t="shared" ca="1" si="449"/>
        <v>711.72888807733182</v>
      </c>
      <c r="K991" s="307">
        <f t="shared" ca="1" si="450"/>
        <v>-13.192483362509336</v>
      </c>
      <c r="L991" s="304">
        <f t="shared" ca="1" si="435"/>
        <v>711.85114437013112</v>
      </c>
      <c r="M991" s="306">
        <f t="shared" ca="1" si="451"/>
        <v>-1.5178592687982966</v>
      </c>
      <c r="N991" s="304">
        <f t="shared" ca="1" si="452"/>
        <v>-86.966929996955557</v>
      </c>
      <c r="P991" s="310">
        <f t="shared" ca="1" si="453"/>
        <v>23</v>
      </c>
      <c r="Q991" s="304">
        <f t="shared" ca="1" si="454"/>
        <v>0</v>
      </c>
      <c r="R991" s="306">
        <f t="shared" ca="1" si="455"/>
        <v>0</v>
      </c>
      <c r="S991" s="307">
        <f t="shared" ca="1" si="456"/>
        <v>2.6792999999999987</v>
      </c>
      <c r="T991" s="304">
        <f t="shared" ca="1" si="436"/>
        <v>26.283932999999987</v>
      </c>
      <c r="U991" s="311">
        <f t="shared" ca="1" si="437"/>
        <v>0</v>
      </c>
      <c r="V991" s="306">
        <f t="shared" ca="1" si="438"/>
        <v>1.2266171459204398</v>
      </c>
      <c r="W991" s="304">
        <f t="shared" ca="1" si="439"/>
        <v>25.410199229450356</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0.31237815964124671</v>
      </c>
      <c r="AH991" s="304">
        <f t="shared" ca="1" si="463"/>
        <v>-9.4838793431200514</v>
      </c>
    </row>
    <row r="992" spans="1:34" x14ac:dyDescent="0.2">
      <c r="A992" s="347">
        <f t="shared" ca="1" si="441"/>
        <v>1E-4</v>
      </c>
      <c r="B992" s="304">
        <f t="shared" ca="1" si="442"/>
        <v>36.647400000001781</v>
      </c>
      <c r="D992" s="306">
        <f t="shared" ca="1" si="443"/>
        <v>-0.50181503487708756</v>
      </c>
      <c r="E992" s="307">
        <f t="shared" ca="1" si="444"/>
        <v>-0.33939064883771231</v>
      </c>
      <c r="F992" s="304">
        <f t="shared" ca="1" si="445"/>
        <v>0.60580883267510721</v>
      </c>
      <c r="G992" s="306">
        <f t="shared" ca="1" si="446"/>
        <v>5.3218904785314214</v>
      </c>
      <c r="H992" s="307">
        <f t="shared" ca="1" si="447"/>
        <v>-100.43947372907168</v>
      </c>
      <c r="I992" s="304">
        <f t="shared" ca="1" si="448"/>
        <v>100.5803678718584</v>
      </c>
      <c r="J992" s="306">
        <f t="shared" ca="1" si="449"/>
        <v>711.72888807733182</v>
      </c>
      <c r="K992" s="307">
        <f t="shared" ca="1" si="450"/>
        <v>-13.202527308185289</v>
      </c>
      <c r="L992" s="304">
        <f t="shared" ca="1" si="435"/>
        <v>711.85133058182771</v>
      </c>
      <c r="M992" s="306">
        <f t="shared" ca="1" si="451"/>
        <v>-1.517859784873189</v>
      </c>
      <c r="N992" s="304">
        <f t="shared" ca="1" si="452"/>
        <v>-86.966959565868805</v>
      </c>
      <c r="P992" s="310">
        <f t="shared" ca="1" si="453"/>
        <v>23</v>
      </c>
      <c r="Q992" s="304">
        <f t="shared" ca="1" si="454"/>
        <v>0</v>
      </c>
      <c r="R992" s="306">
        <f t="shared" ca="1" si="455"/>
        <v>0</v>
      </c>
      <c r="S992" s="307">
        <f t="shared" ca="1" si="456"/>
        <v>2.6792999999999987</v>
      </c>
      <c r="T992" s="304">
        <f t="shared" ca="1" si="436"/>
        <v>26.283932999999987</v>
      </c>
      <c r="U992" s="311">
        <f t="shared" ca="1" si="437"/>
        <v>0</v>
      </c>
      <c r="V992" s="306">
        <f t="shared" ca="1" si="438"/>
        <v>1.226618377929193</v>
      </c>
      <c r="W992" s="304">
        <f t="shared" ca="1" si="439"/>
        <v>25.410240534184631</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0.31236301102411446</v>
      </c>
      <c r="AH992" s="304">
        <f t="shared" ca="1" si="463"/>
        <v>-9.4838947596201884</v>
      </c>
    </row>
    <row r="993" spans="1:34" x14ac:dyDescent="0.2">
      <c r="A993" s="347">
        <f t="shared" ca="1" si="441"/>
        <v>1E-4</v>
      </c>
      <c r="B993" s="304">
        <f t="shared" ca="1" si="442"/>
        <v>36.647500000001784</v>
      </c>
      <c r="D993" s="306">
        <f t="shared" ca="1" si="443"/>
        <v>-0.50181096303470762</v>
      </c>
      <c r="E993" s="307">
        <f t="shared" ca="1" si="444"/>
        <v>-0.33937499521917047</v>
      </c>
      <c r="F993" s="304">
        <f t="shared" ca="1" si="445"/>
        <v>0.60579669031931227</v>
      </c>
      <c r="G993" s="306">
        <f t="shared" ca="1" si="446"/>
        <v>5.3218402974351182</v>
      </c>
      <c r="H993" s="307">
        <f t="shared" ca="1" si="447"/>
        <v>-100.4395076665712</v>
      </c>
      <c r="I993" s="304">
        <f t="shared" ca="1" si="448"/>
        <v>100.58039910665805</v>
      </c>
      <c r="J993" s="306">
        <f t="shared" ca="1" si="449"/>
        <v>711.72888807733182</v>
      </c>
      <c r="K993" s="307">
        <f t="shared" ca="1" si="450"/>
        <v>-13.212571257255071</v>
      </c>
      <c r="L993" s="304">
        <f t="shared" ca="1" si="435"/>
        <v>711.85151693525472</v>
      </c>
      <c r="M993" s="306">
        <f t="shared" ca="1" si="451"/>
        <v>-1.5178603009428946</v>
      </c>
      <c r="N993" s="304">
        <f t="shared" ca="1" si="452"/>
        <v>-86.966989134484862</v>
      </c>
      <c r="P993" s="310">
        <f t="shared" ca="1" si="453"/>
        <v>23</v>
      </c>
      <c r="Q993" s="304">
        <f t="shared" ca="1" si="454"/>
        <v>0</v>
      </c>
      <c r="R993" s="306">
        <f t="shared" ca="1" si="455"/>
        <v>0</v>
      </c>
      <c r="S993" s="307">
        <f t="shared" ca="1" si="456"/>
        <v>2.6792999999999987</v>
      </c>
      <c r="T993" s="304">
        <f t="shared" ca="1" si="436"/>
        <v>26.283932999999987</v>
      </c>
      <c r="U993" s="311">
        <f t="shared" ca="1" si="437"/>
        <v>0</v>
      </c>
      <c r="V993" s="306">
        <f t="shared" ca="1" si="438"/>
        <v>1.2266196099396007</v>
      </c>
      <c r="W993" s="304">
        <f t="shared" ca="1" si="439"/>
        <v>25.410281838224371</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0.31234786266090531</v>
      </c>
      <c r="AH993" s="304">
        <f t="shared" ca="1" si="463"/>
        <v>-9.4839101758610997</v>
      </c>
    </row>
    <row r="994" spans="1:34" x14ac:dyDescent="0.2">
      <c r="A994" s="347">
        <f t="shared" ca="1" si="441"/>
        <v>1E-4</v>
      </c>
      <c r="B994" s="304">
        <f t="shared" ca="1" si="442"/>
        <v>36.647600000001788</v>
      </c>
      <c r="D994" s="306">
        <f t="shared" ca="1" si="443"/>
        <v>-0.50180689121171029</v>
      </c>
      <c r="E994" s="307">
        <f t="shared" ca="1" si="444"/>
        <v>-0.33935934186377104</v>
      </c>
      <c r="F994" s="304">
        <f t="shared" ca="1" si="445"/>
        <v>0.60578454831546591</v>
      </c>
      <c r="G994" s="306">
        <f t="shared" ca="1" si="446"/>
        <v>5.3217901167459969</v>
      </c>
      <c r="H994" s="307">
        <f t="shared" ca="1" si="447"/>
        <v>-100.43954160250539</v>
      </c>
      <c r="I994" s="304">
        <f t="shared" ca="1" si="448"/>
        <v>100.58043033994289</v>
      </c>
      <c r="J994" s="306">
        <f t="shared" ca="1" si="449"/>
        <v>711.72888807733182</v>
      </c>
      <c r="K994" s="307">
        <f t="shared" ca="1" si="450"/>
        <v>-13.222615209718525</v>
      </c>
      <c r="L994" s="304">
        <f t="shared" ca="1" si="435"/>
        <v>711.85170343041216</v>
      </c>
      <c r="M994" s="306">
        <f t="shared" ca="1" si="451"/>
        <v>-1.5178608170074137</v>
      </c>
      <c r="N994" s="304">
        <f t="shared" ca="1" si="452"/>
        <v>-86.96701870280377</v>
      </c>
      <c r="P994" s="310">
        <f t="shared" ca="1" si="453"/>
        <v>23</v>
      </c>
      <c r="Q994" s="304">
        <f t="shared" ca="1" si="454"/>
        <v>0</v>
      </c>
      <c r="R994" s="306">
        <f t="shared" ca="1" si="455"/>
        <v>0</v>
      </c>
      <c r="S994" s="307">
        <f t="shared" ca="1" si="456"/>
        <v>2.6792999999999987</v>
      </c>
      <c r="T994" s="304">
        <f t="shared" ca="1" si="436"/>
        <v>26.283932999999987</v>
      </c>
      <c r="U994" s="311">
        <f t="shared" ca="1" si="437"/>
        <v>0</v>
      </c>
      <c r="V994" s="306">
        <f t="shared" ca="1" si="438"/>
        <v>1.2266208419516624</v>
      </c>
      <c r="W994" s="304">
        <f t="shared" ca="1" si="439"/>
        <v>25.410323141569595</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0.31233271455161749</v>
      </c>
      <c r="AH994" s="304">
        <f t="shared" ca="1" si="463"/>
        <v>-9.4839255918427892</v>
      </c>
    </row>
    <row r="995" spans="1:34" x14ac:dyDescent="0.2">
      <c r="A995" s="347">
        <f t="shared" ca="1" si="441"/>
        <v>1E-4</v>
      </c>
      <c r="B995" s="304">
        <f t="shared" ca="1" si="442"/>
        <v>36.647700000001791</v>
      </c>
      <c r="D995" s="306">
        <f t="shared" ca="1" si="443"/>
        <v>-0.50180281940809457</v>
      </c>
      <c r="E995" s="307">
        <f t="shared" ca="1" si="444"/>
        <v>-0.33934368877150689</v>
      </c>
      <c r="F995" s="304">
        <f t="shared" ca="1" si="445"/>
        <v>0.6057724066635638</v>
      </c>
      <c r="G995" s="306">
        <f t="shared" ca="1" si="446"/>
        <v>5.3217399364640565</v>
      </c>
      <c r="H995" s="307">
        <f t="shared" ca="1" si="447"/>
        <v>-100.43957553687426</v>
      </c>
      <c r="I995" s="304">
        <f t="shared" ca="1" si="448"/>
        <v>100.58046157171296</v>
      </c>
      <c r="J995" s="306">
        <f t="shared" ca="1" si="449"/>
        <v>711.72888807733182</v>
      </c>
      <c r="K995" s="307">
        <f t="shared" ca="1" si="450"/>
        <v>-13.232659165575493</v>
      </c>
      <c r="L995" s="304">
        <f t="shared" ca="1" si="435"/>
        <v>711.85189006730002</v>
      </c>
      <c r="M995" s="306">
        <f t="shared" ca="1" si="451"/>
        <v>-1.5178613330667461</v>
      </c>
      <c r="N995" s="304">
        <f t="shared" ca="1" si="452"/>
        <v>-86.967048270825501</v>
      </c>
      <c r="P995" s="310">
        <f t="shared" ca="1" si="453"/>
        <v>23</v>
      </c>
      <c r="Q995" s="304">
        <f t="shared" ca="1" si="454"/>
        <v>0</v>
      </c>
      <c r="R995" s="306">
        <f t="shared" ca="1" si="455"/>
        <v>0</v>
      </c>
      <c r="S995" s="307">
        <f t="shared" ca="1" si="456"/>
        <v>2.6792999999999987</v>
      </c>
      <c r="T995" s="304">
        <f t="shared" ca="1" si="436"/>
        <v>26.283932999999987</v>
      </c>
      <c r="U995" s="311">
        <f t="shared" ca="1" si="437"/>
        <v>0</v>
      </c>
      <c r="V995" s="306">
        <f t="shared" ca="1" si="438"/>
        <v>1.2266220739653795</v>
      </c>
      <c r="W995" s="304">
        <f t="shared" ca="1" si="439"/>
        <v>25.410364444220328</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0.31231756669624566</v>
      </c>
      <c r="AH995" s="304">
        <f t="shared" ca="1" si="463"/>
        <v>-9.4839410075652619</v>
      </c>
    </row>
    <row r="996" spans="1:34" x14ac:dyDescent="0.2">
      <c r="A996" s="347">
        <f t="shared" ca="1" si="441"/>
        <v>1E-4</v>
      </c>
      <c r="B996" s="304">
        <f t="shared" ca="1" si="442"/>
        <v>36.647800000001794</v>
      </c>
      <c r="D996" s="306">
        <f t="shared" ca="1" si="443"/>
        <v>-0.50179874762386378</v>
      </c>
      <c r="E996" s="307">
        <f t="shared" ca="1" si="444"/>
        <v>-0.33932803594236916</v>
      </c>
      <c r="F996" s="304">
        <f t="shared" ca="1" si="445"/>
        <v>0.60576026536360394</v>
      </c>
      <c r="G996" s="306">
        <f t="shared" ca="1" si="446"/>
        <v>5.3216897565892944</v>
      </c>
      <c r="H996" s="307">
        <f t="shared" ca="1" si="447"/>
        <v>-100.43960946967785</v>
      </c>
      <c r="I996" s="304">
        <f t="shared" ca="1" si="448"/>
        <v>100.58049280196825</v>
      </c>
      <c r="J996" s="306">
        <f t="shared" ca="1" si="449"/>
        <v>711.72888807733182</v>
      </c>
      <c r="K996" s="307">
        <f t="shared" ca="1" si="450"/>
        <v>-13.24270312482582</v>
      </c>
      <c r="L996" s="304">
        <f t="shared" ca="1" si="435"/>
        <v>711.85207684591853</v>
      </c>
      <c r="M996" s="306">
        <f t="shared" ca="1" si="451"/>
        <v>-1.5178618491208919</v>
      </c>
      <c r="N996" s="304">
        <f t="shared" ca="1" si="452"/>
        <v>-86.967077838550054</v>
      </c>
      <c r="P996" s="310">
        <f t="shared" ca="1" si="453"/>
        <v>23</v>
      </c>
      <c r="Q996" s="304">
        <f t="shared" ca="1" si="454"/>
        <v>0</v>
      </c>
      <c r="R996" s="306">
        <f t="shared" ca="1" si="455"/>
        <v>0</v>
      </c>
      <c r="S996" s="307">
        <f t="shared" ca="1" si="456"/>
        <v>2.6792999999999987</v>
      </c>
      <c r="T996" s="304">
        <f t="shared" ca="1" si="436"/>
        <v>26.283932999999987</v>
      </c>
      <c r="U996" s="311">
        <f t="shared" ca="1" si="437"/>
        <v>0</v>
      </c>
      <c r="V996" s="306">
        <f t="shared" ca="1" si="438"/>
        <v>1.2266233059807505</v>
      </c>
      <c r="W996" s="304">
        <f t="shared" ca="1" si="439"/>
        <v>25.41040574617654</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0.31230241909477563</v>
      </c>
      <c r="AH996" s="304">
        <f t="shared" ca="1" si="463"/>
        <v>-9.4839564230285305</v>
      </c>
    </row>
    <row r="997" spans="1:34" x14ac:dyDescent="0.2">
      <c r="A997" s="347">
        <f t="shared" ca="1" si="441"/>
        <v>1E-4</v>
      </c>
      <c r="B997" s="304">
        <f t="shared" ca="1" si="442"/>
        <v>36.647900000001798</v>
      </c>
      <c r="D997" s="306">
        <f t="shared" ca="1" si="443"/>
        <v>-0.50179467585901583</v>
      </c>
      <c r="E997" s="307">
        <f t="shared" ca="1" si="444"/>
        <v>-0.33931238337636849</v>
      </c>
      <c r="F997" s="304">
        <f t="shared" ca="1" si="445"/>
        <v>0.60574812441559112</v>
      </c>
      <c r="G997" s="306">
        <f t="shared" ca="1" si="446"/>
        <v>5.3216395771217089</v>
      </c>
      <c r="H997" s="307">
        <f t="shared" ca="1" si="447"/>
        <v>-100.43964340091618</v>
      </c>
      <c r="I997" s="304">
        <f t="shared" ca="1" si="448"/>
        <v>100.58052403070882</v>
      </c>
      <c r="J997" s="306">
        <f t="shared" ca="1" si="449"/>
        <v>711.72888807733182</v>
      </c>
      <c r="K997" s="307">
        <f t="shared" ca="1" si="450"/>
        <v>-13.252747087469348</v>
      </c>
      <c r="L997" s="304">
        <f t="shared" ca="1" si="435"/>
        <v>711.85226376626747</v>
      </c>
      <c r="M997" s="306">
        <f t="shared" ca="1" si="451"/>
        <v>-1.5178623651698515</v>
      </c>
      <c r="N997" s="304">
        <f t="shared" ca="1" si="452"/>
        <v>-86.967107405977458</v>
      </c>
      <c r="P997" s="310">
        <f t="shared" ca="1" si="453"/>
        <v>23</v>
      </c>
      <c r="Q997" s="304">
        <f t="shared" ca="1" si="454"/>
        <v>0</v>
      </c>
      <c r="R997" s="306">
        <f t="shared" ca="1" si="455"/>
        <v>0</v>
      </c>
      <c r="S997" s="307">
        <f t="shared" ca="1" si="456"/>
        <v>2.6792999999999987</v>
      </c>
      <c r="T997" s="304">
        <f t="shared" ca="1" si="436"/>
        <v>26.283932999999987</v>
      </c>
      <c r="U997" s="311">
        <f t="shared" ca="1" si="437"/>
        <v>0</v>
      </c>
      <c r="V997" s="306">
        <f t="shared" ca="1" si="438"/>
        <v>1.226624537997776</v>
      </c>
      <c r="W997" s="304">
        <f t="shared" ca="1" si="439"/>
        <v>25.410447047438279</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0.31228727174722337</v>
      </c>
      <c r="AH997" s="304">
        <f t="shared" ca="1" si="463"/>
        <v>-9.4839718382325806</v>
      </c>
    </row>
    <row r="998" spans="1:34" x14ac:dyDescent="0.2">
      <c r="A998" s="347">
        <f t="shared" ca="1" si="441"/>
        <v>1E-4</v>
      </c>
      <c r="B998" s="304">
        <f t="shared" ca="1" si="442"/>
        <v>36.648000000001801</v>
      </c>
      <c r="D998" s="306">
        <f t="shared" ca="1" si="443"/>
        <v>-0.50179060411355014</v>
      </c>
      <c r="E998" s="307">
        <f t="shared" ca="1" si="444"/>
        <v>-0.33929673107348535</v>
      </c>
      <c r="F998" s="304">
        <f t="shared" ca="1" si="445"/>
        <v>0.6057359838195141</v>
      </c>
      <c r="G998" s="306">
        <f t="shared" ca="1" si="446"/>
        <v>5.3215893980612972</v>
      </c>
      <c r="H998" s="307">
        <f t="shared" ca="1" si="447"/>
        <v>-100.43967733058929</v>
      </c>
      <c r="I998" s="304">
        <f t="shared" ca="1" si="448"/>
        <v>100.58055525793468</v>
      </c>
      <c r="J998" s="306">
        <f t="shared" ca="1" si="449"/>
        <v>711.72888807733182</v>
      </c>
      <c r="K998" s="307">
        <f t="shared" ca="1" si="450"/>
        <v>-13.262791053505923</v>
      </c>
      <c r="L998" s="304">
        <f t="shared" ca="1" si="435"/>
        <v>711.85245082834695</v>
      </c>
      <c r="M998" s="306">
        <f t="shared" ca="1" si="451"/>
        <v>-1.5178628812136246</v>
      </c>
      <c r="N998" s="304">
        <f t="shared" ca="1" si="452"/>
        <v>-86.967136973107699</v>
      </c>
      <c r="P998" s="310">
        <f t="shared" ca="1" si="453"/>
        <v>23</v>
      </c>
      <c r="Q998" s="304">
        <f t="shared" ca="1" si="454"/>
        <v>0</v>
      </c>
      <c r="R998" s="306">
        <f t="shared" ca="1" si="455"/>
        <v>0</v>
      </c>
      <c r="S998" s="307">
        <f t="shared" ca="1" si="456"/>
        <v>2.6792999999999987</v>
      </c>
      <c r="T998" s="304">
        <f t="shared" ca="1" si="436"/>
        <v>26.283932999999987</v>
      </c>
      <c r="U998" s="311">
        <f t="shared" ca="1" si="437"/>
        <v>0</v>
      </c>
      <c r="V998" s="306">
        <f t="shared" ca="1" si="438"/>
        <v>1.226625770016456</v>
      </c>
      <c r="W998" s="304">
        <f t="shared" ca="1" si="439"/>
        <v>25.41048834800554</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0.31227212465357113</v>
      </c>
      <c r="AH998" s="304">
        <f t="shared" ca="1" si="463"/>
        <v>-9.4839872531774319</v>
      </c>
    </row>
    <row r="999" spans="1:34" x14ac:dyDescent="0.2">
      <c r="A999" s="347">
        <f t="shared" ca="1" si="441"/>
        <v>1E-4</v>
      </c>
      <c r="B999" s="304">
        <f t="shared" ca="1" si="442"/>
        <v>36.648100000001804</v>
      </c>
      <c r="D999" s="306">
        <f t="shared" ca="1" si="443"/>
        <v>-0.5017865323874694</v>
      </c>
      <c r="E999" s="307">
        <f t="shared" ca="1" si="444"/>
        <v>-0.33928107903372684</v>
      </c>
      <c r="F999" s="304">
        <f t="shared" ca="1" si="445"/>
        <v>0.60572384357537956</v>
      </c>
      <c r="G999" s="306">
        <f t="shared" ca="1" si="446"/>
        <v>5.3215392194080584</v>
      </c>
      <c r="H999" s="307">
        <f t="shared" ca="1" si="447"/>
        <v>-100.43971125869719</v>
      </c>
      <c r="I999" s="304">
        <f t="shared" ca="1" si="448"/>
        <v>100.58058648364585</v>
      </c>
      <c r="J999" s="306">
        <f t="shared" ca="1" si="449"/>
        <v>711.72888807733182</v>
      </c>
      <c r="K999" s="307">
        <f t="shared" ca="1" si="450"/>
        <v>-13.272835022935388</v>
      </c>
      <c r="L999" s="304">
        <f t="shared" ca="1" si="435"/>
        <v>711.85263803215707</v>
      </c>
      <c r="M999" s="306">
        <f t="shared" ca="1" si="451"/>
        <v>-1.5178633972522113</v>
      </c>
      <c r="N999" s="304">
        <f t="shared" ca="1" si="452"/>
        <v>-86.967166539940777</v>
      </c>
      <c r="P999" s="310">
        <f t="shared" ca="1" si="453"/>
        <v>23</v>
      </c>
      <c r="Q999" s="304">
        <f t="shared" ca="1" si="454"/>
        <v>0</v>
      </c>
      <c r="R999" s="306">
        <f t="shared" ca="1" si="455"/>
        <v>0</v>
      </c>
      <c r="S999" s="307">
        <f t="shared" ca="1" si="456"/>
        <v>2.6792999999999987</v>
      </c>
      <c r="T999" s="304">
        <f t="shared" ca="1" si="436"/>
        <v>26.283932999999987</v>
      </c>
      <c r="U999" s="311">
        <f t="shared" ca="1" si="437"/>
        <v>0</v>
      </c>
      <c r="V999" s="306">
        <f t="shared" ca="1" si="438"/>
        <v>1.2266270020367902</v>
      </c>
      <c r="W999" s="304">
        <f t="shared" ca="1" si="439"/>
        <v>25.410529647878331</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0.31225697781381712</v>
      </c>
      <c r="AH999" s="304">
        <f t="shared" ca="1" si="463"/>
        <v>-9.4840026678630807</v>
      </c>
    </row>
    <row r="1000" spans="1:34" x14ac:dyDescent="0.2">
      <c r="A1000" s="347">
        <f t="shared" ca="1" si="441"/>
        <v>1E-4</v>
      </c>
      <c r="B1000" s="304">
        <f t="shared" ca="1" si="442"/>
        <v>36.648200000001808</v>
      </c>
      <c r="D1000" s="306">
        <f t="shared" ca="1" si="443"/>
        <v>-0.50178246068077248</v>
      </c>
      <c r="E1000" s="307">
        <f t="shared" ca="1" si="444"/>
        <v>-0.33926542725708231</v>
      </c>
      <c r="F1000" s="304">
        <f t="shared" ca="1" si="445"/>
        <v>0.60571170368318095</v>
      </c>
      <c r="G1000" s="306">
        <f t="shared" ca="1" si="446"/>
        <v>5.32148904116199</v>
      </c>
      <c r="H1000" s="307">
        <f t="shared" ca="1" si="447"/>
        <v>-100.43974518523991</v>
      </c>
      <c r="I1000" s="304">
        <f t="shared" ca="1" si="448"/>
        <v>100.58061770784235</v>
      </c>
      <c r="J1000" s="306">
        <f t="shared" ca="1" si="449"/>
        <v>711.72888807733182</v>
      </c>
      <c r="K1000" s="307">
        <f t="shared" ca="1" si="450"/>
        <v>-13.282878995757585</v>
      </c>
      <c r="L1000" s="304">
        <f t="shared" ca="1" si="435"/>
        <v>711.85282537769774</v>
      </c>
      <c r="M1000" s="306">
        <f t="shared" ca="1" si="451"/>
        <v>-1.517863913285612</v>
      </c>
      <c r="N1000" s="304">
        <f t="shared" ca="1" si="452"/>
        <v>-86.967196106476734</v>
      </c>
      <c r="P1000" s="310">
        <f t="shared" ca="1" si="453"/>
        <v>23</v>
      </c>
      <c r="Q1000" s="304">
        <f t="shared" ca="1" si="454"/>
        <v>0</v>
      </c>
      <c r="R1000" s="306">
        <f t="shared" ca="1" si="455"/>
        <v>0</v>
      </c>
      <c r="S1000" s="307">
        <f t="shared" ca="1" si="456"/>
        <v>2.6792999999999987</v>
      </c>
      <c r="T1000" s="304">
        <f t="shared" ca="1" si="436"/>
        <v>26.283932999999987</v>
      </c>
      <c r="U1000" s="311">
        <f t="shared" ca="1" si="437"/>
        <v>0</v>
      </c>
      <c r="V1000" s="306">
        <f t="shared" ca="1" si="438"/>
        <v>1.2266282340587793</v>
      </c>
      <c r="W1000" s="304">
        <f t="shared" ca="1" si="439"/>
        <v>25.410570947056666</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0.31224183122796312</v>
      </c>
      <c r="AH1000" s="304">
        <f t="shared" ca="1" si="463"/>
        <v>-9.4840180822895324</v>
      </c>
    </row>
    <row r="1001" spans="1:34" x14ac:dyDescent="0.2">
      <c r="A1001" s="347">
        <f t="shared" ca="1" si="441"/>
        <v>1E-4</v>
      </c>
      <c r="B1001" s="304">
        <f t="shared" ca="1" si="442"/>
        <v>36.648300000001811</v>
      </c>
      <c r="D1001" s="306">
        <f t="shared" ca="1" si="443"/>
        <v>-0.50177838899345795</v>
      </c>
      <c r="E1001" s="307">
        <f t="shared" ca="1" si="444"/>
        <v>-0.33924977574355353</v>
      </c>
      <c r="F1001" s="304">
        <f t="shared" ca="1" si="445"/>
        <v>0.60569956414291848</v>
      </c>
      <c r="G1001" s="306">
        <f t="shared" ca="1" si="446"/>
        <v>5.3214388633230909</v>
      </c>
      <c r="H1001" s="307">
        <f t="shared" ca="1" si="447"/>
        <v>-100.43977911021749</v>
      </c>
      <c r="I1001" s="304">
        <f t="shared" ca="1" si="448"/>
        <v>100.58064893052423</v>
      </c>
      <c r="J1001" s="306">
        <f t="shared" ca="1" si="449"/>
        <v>711.72888807733182</v>
      </c>
      <c r="K1001" s="307">
        <f t="shared" ca="1" si="450"/>
        <v>-13.292922971972358</v>
      </c>
      <c r="L1001" s="304">
        <f t="shared" ca="1" si="435"/>
        <v>711.85301286496917</v>
      </c>
      <c r="M1001" s="306">
        <f t="shared" ca="1" si="451"/>
        <v>-1.5178644293138264</v>
      </c>
      <c r="N1001" s="304">
        <f t="shared" ca="1" si="452"/>
        <v>-86.967225672715529</v>
      </c>
      <c r="P1001" s="310">
        <f t="shared" ca="1" si="453"/>
        <v>23</v>
      </c>
      <c r="Q1001" s="304">
        <f t="shared" ca="1" si="454"/>
        <v>0</v>
      </c>
      <c r="R1001" s="306">
        <f t="shared" ca="1" si="455"/>
        <v>0</v>
      </c>
      <c r="S1001" s="307">
        <f t="shared" ca="1" si="456"/>
        <v>2.6792999999999987</v>
      </c>
      <c r="T1001" s="304">
        <f t="shared" ca="1" si="436"/>
        <v>26.283932999999987</v>
      </c>
      <c r="U1001" s="311">
        <f t="shared" ca="1" si="437"/>
        <v>0</v>
      </c>
      <c r="V1001" s="306">
        <f t="shared" ca="1" si="438"/>
        <v>1.2266294660824228</v>
      </c>
      <c r="W1001" s="304">
        <f t="shared" ca="1" si="439"/>
        <v>25.410612245540555</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0.31222668489600203</v>
      </c>
      <c r="AH1001" s="304">
        <f t="shared" ca="1" si="463"/>
        <v>-9.4840334964567905</v>
      </c>
    </row>
    <row r="1002" spans="1:34" x14ac:dyDescent="0.2">
      <c r="A1002" s="347">
        <f t="shared" ca="1" si="441"/>
        <v>1E-4</v>
      </c>
      <c r="B1002" s="304">
        <f t="shared" ca="1" si="442"/>
        <v>36.648400000001814</v>
      </c>
      <c r="D1002" s="306">
        <f t="shared" ca="1" si="443"/>
        <v>-0.50177431732552868</v>
      </c>
      <c r="E1002" s="307">
        <f t="shared" ca="1" si="444"/>
        <v>-0.33923412449313339</v>
      </c>
      <c r="F1002" s="304">
        <f t="shared" ca="1" si="445"/>
        <v>0.60568742495459083</v>
      </c>
      <c r="G1002" s="306">
        <f t="shared" ca="1" si="446"/>
        <v>5.3213886858913586</v>
      </c>
      <c r="H1002" s="307">
        <f t="shared" ca="1" si="447"/>
        <v>-100.43981303362993</v>
      </c>
      <c r="I1002" s="304">
        <f t="shared" ca="1" si="448"/>
        <v>100.58068015169151</v>
      </c>
      <c r="J1002" s="306">
        <f t="shared" ca="1" si="449"/>
        <v>711.72888807733182</v>
      </c>
      <c r="K1002" s="307">
        <f t="shared" ca="1" si="450"/>
        <v>-13.302966951579551</v>
      </c>
      <c r="L1002" s="304">
        <f t="shared" ca="1" si="435"/>
        <v>711.85320049397114</v>
      </c>
      <c r="M1002" s="306">
        <f t="shared" ca="1" si="451"/>
        <v>-1.5178649453368545</v>
      </c>
      <c r="N1002" s="304">
        <f t="shared" ca="1" si="452"/>
        <v>-86.96725523865716</v>
      </c>
      <c r="P1002" s="310">
        <f t="shared" ca="1" si="453"/>
        <v>23</v>
      </c>
      <c r="Q1002" s="304">
        <f t="shared" ca="1" si="454"/>
        <v>0</v>
      </c>
      <c r="R1002" s="306">
        <f t="shared" ca="1" si="455"/>
        <v>0</v>
      </c>
      <c r="S1002" s="307">
        <f t="shared" ca="1" si="456"/>
        <v>2.6792999999999987</v>
      </c>
      <c r="T1002" s="304">
        <f t="shared" ca="1" si="436"/>
        <v>26.283932999999987</v>
      </c>
      <c r="U1002" s="311">
        <f t="shared" ca="1" si="437"/>
        <v>0</v>
      </c>
      <c r="V1002" s="306">
        <f t="shared" ca="1" si="438"/>
        <v>1.2266306981077202</v>
      </c>
      <c r="W1002" s="304">
        <f t="shared" ca="1" si="439"/>
        <v>25.41065354333</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0.31221153881792851</v>
      </c>
      <c r="AH1002" s="304">
        <f t="shared" ca="1" si="463"/>
        <v>-9.4840489103648586</v>
      </c>
    </row>
    <row r="1003" spans="1:34" x14ac:dyDescent="0.2">
      <c r="A1003" s="347">
        <f t="shared" ca="1" si="441"/>
        <v>1E-4</v>
      </c>
      <c r="B1003" s="304">
        <f t="shared" ca="1" si="442"/>
        <v>36.648500000001818</v>
      </c>
      <c r="D1003" s="306">
        <f t="shared" ca="1" si="443"/>
        <v>-0.50177024567698569</v>
      </c>
      <c r="E1003" s="307">
        <f t="shared" ca="1" si="444"/>
        <v>-0.33921847350582013</v>
      </c>
      <c r="F1003" s="304">
        <f t="shared" ca="1" si="445"/>
        <v>0.60567528611819832</v>
      </c>
      <c r="G1003" s="306">
        <f t="shared" ca="1" si="446"/>
        <v>5.3213385088667913</v>
      </c>
      <c r="H1003" s="307">
        <f t="shared" ca="1" si="447"/>
        <v>-100.43984695547728</v>
      </c>
      <c r="I1003" s="304">
        <f t="shared" ca="1" si="448"/>
        <v>100.58071137134419</v>
      </c>
      <c r="J1003" s="306">
        <f t="shared" ca="1" si="449"/>
        <v>711.72888807733182</v>
      </c>
      <c r="K1003" s="307">
        <f t="shared" ca="1" si="450"/>
        <v>-13.313010934579006</v>
      </c>
      <c r="L1003" s="304">
        <f t="shared" ca="1" si="435"/>
        <v>711.85338826470399</v>
      </c>
      <c r="M1003" s="306">
        <f t="shared" ca="1" si="451"/>
        <v>-1.5178654613546965</v>
      </c>
      <c r="N1003" s="304">
        <f t="shared" ca="1" si="452"/>
        <v>-86.96728480430167</v>
      </c>
      <c r="P1003" s="310">
        <f t="shared" ca="1" si="453"/>
        <v>23</v>
      </c>
      <c r="Q1003" s="304">
        <f t="shared" ca="1" si="454"/>
        <v>0</v>
      </c>
      <c r="R1003" s="306">
        <f t="shared" ca="1" si="455"/>
        <v>0</v>
      </c>
      <c r="S1003" s="307">
        <f t="shared" ca="1" si="456"/>
        <v>2.6792999999999987</v>
      </c>
      <c r="T1003" s="304">
        <f t="shared" ca="1" si="436"/>
        <v>26.283932999999987</v>
      </c>
      <c r="U1003" s="311">
        <f t="shared" ca="1" si="437"/>
        <v>0</v>
      </c>
      <c r="V1003" s="306">
        <f ca="1">Rho_moyen*(20000-Alt_rampe-pos_z)/(20000+Alt_rampe+pos_z)</f>
        <v>1.2266319301346726</v>
      </c>
      <c r="W1003" s="304">
        <f t="shared" ca="1" si="439"/>
        <v>25.410694840425023</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0.31219639299374435</v>
      </c>
      <c r="AH1003" s="304">
        <f t="shared" ca="1" si="463"/>
        <v>-9.4840643240137386</v>
      </c>
    </row>
    <row r="1004" spans="1:34" x14ac:dyDescent="0.2">
      <c r="A1004" s="348">
        <f t="shared" ca="1" si="441"/>
        <v>1E-4</v>
      </c>
      <c r="B1004" s="305">
        <f t="shared" ca="1" si="442"/>
        <v>36.648600000001821</v>
      </c>
      <c r="D1004" s="308">
        <f t="shared" ca="1" si="443"/>
        <v>-0.50176617404782786</v>
      </c>
      <c r="E1004" s="309">
        <f t="shared" ca="1" si="444"/>
        <v>-0.33920282278160663</v>
      </c>
      <c r="F1004" s="305">
        <f t="shared" ca="1" si="445"/>
        <v>0.60566314763373641</v>
      </c>
      <c r="G1004" s="308">
        <f t="shared" ca="1" si="446"/>
        <v>5.3212883322493862</v>
      </c>
      <c r="H1004" s="309">
        <f t="shared" ca="1" si="447"/>
        <v>-100.43988087575956</v>
      </c>
      <c r="I1004" s="305">
        <f t="shared" ca="1" si="448"/>
        <v>100.58074258948233</v>
      </c>
      <c r="J1004" s="308">
        <f t="shared" ca="1" si="449"/>
        <v>711.72888807733182</v>
      </c>
      <c r="K1004" s="309">
        <f t="shared" ca="1" si="450"/>
        <v>-13.323054920970568</v>
      </c>
      <c r="L1004" s="305">
        <f t="shared" ca="1" si="435"/>
        <v>711.85357617716738</v>
      </c>
      <c r="M1004" s="308">
        <f t="shared" ca="1" si="451"/>
        <v>-1.5178659773673526</v>
      </c>
      <c r="N1004" s="305">
        <f t="shared" ca="1" si="452"/>
        <v>-86.967314369649046</v>
      </c>
      <c r="P1004" s="312">
        <f t="shared" ca="1" si="453"/>
        <v>23</v>
      </c>
      <c r="Q1004" s="305">
        <f t="shared" ca="1" si="454"/>
        <v>0</v>
      </c>
      <c r="R1004" s="308">
        <f t="shared" ca="1" si="455"/>
        <v>0</v>
      </c>
      <c r="S1004" s="309">
        <f t="shared" ca="1" si="456"/>
        <v>2.6792999999999987</v>
      </c>
      <c r="T1004" s="305">
        <f t="shared" ca="1" si="436"/>
        <v>26.283932999999987</v>
      </c>
      <c r="U1004" s="313">
        <f t="shared" ca="1" si="437"/>
        <v>0</v>
      </c>
      <c r="V1004" s="308">
        <f t="shared" ca="1" si="438"/>
        <v>1.2266331621632787</v>
      </c>
      <c r="W1004" s="305">
        <f ca="1">1/2*Rho*Sref*Cx*vit_xz^2</f>
        <v>25.410736136825612</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0.31218124742343711</v>
      </c>
      <c r="AH1004" s="305">
        <f t="shared" ca="1" si="463"/>
        <v>-9.4840797374034391</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598" t="s">
        <v>281</v>
      </c>
      <c r="D2" s="598"/>
      <c r="M2" s="75"/>
    </row>
    <row r="3" spans="1:13" ht="12.75" customHeight="1" x14ac:dyDescent="0.2">
      <c r="A3" s="56"/>
      <c r="B3" s="2"/>
      <c r="C3" s="598"/>
      <c r="D3" s="598"/>
      <c r="M3" s="75"/>
    </row>
    <row r="4" spans="1:13" x14ac:dyDescent="0.2">
      <c r="A4" s="56"/>
      <c r="B4" s="2"/>
      <c r="C4" s="603" t="str">
        <f>IF(Lang="Français","Abaques de performance",IF(Lang="English","Performance charts",""))</f>
        <v>Abaques de performance</v>
      </c>
      <c r="D4" s="603"/>
      <c r="M4" s="75"/>
    </row>
    <row r="5" spans="1:13" x14ac:dyDescent="0.2">
      <c r="A5" s="56"/>
      <c r="B5" s="2"/>
      <c r="C5" s="603" t="str">
        <f>IF(Lang="Français","Calcul analytique simple",IF(Lang="English","Analytical computation",""))</f>
        <v>Calcul analytique simple</v>
      </c>
      <c r="D5" s="603"/>
      <c r="M5" s="75"/>
    </row>
    <row r="6" spans="1:13" x14ac:dyDescent="0.2">
      <c r="A6" s="56"/>
      <c r="B6" s="87"/>
      <c r="C6" s="1"/>
      <c r="D6" s="1"/>
      <c r="M6" s="75"/>
    </row>
    <row r="7" spans="1:13" x14ac:dyDescent="0.2">
      <c r="A7" s="59"/>
      <c r="B7" s="6"/>
      <c r="C7" s="599" t="str">
        <f>IF(Lang="Français","Fusée",IF(Lang="English","Rocket",""))</f>
        <v>Fusée</v>
      </c>
      <c r="D7" s="599"/>
      <c r="M7" s="75"/>
    </row>
    <row r="8" spans="1:13" ht="15.75" x14ac:dyDescent="0.25">
      <c r="A8" s="59"/>
      <c r="B8" s="140" t="str">
        <f>IF(Lang="Français","Nom",IF(Lang="English","Name",""))</f>
        <v>Nom</v>
      </c>
      <c r="C8" s="600" t="str">
        <f>Nom</f>
        <v>SP02-Alpha</v>
      </c>
      <c r="D8" s="600"/>
      <c r="M8" s="75"/>
    </row>
    <row r="9" spans="1:13" ht="15.75" x14ac:dyDescent="0.25">
      <c r="A9" s="59"/>
      <c r="B9" s="140" t="s">
        <v>4</v>
      </c>
      <c r="C9" s="600" t="str">
        <f>Club</f>
        <v>L'AéroIPSA</v>
      </c>
      <c r="D9" s="600"/>
      <c r="M9" s="75"/>
    </row>
    <row r="10" spans="1:13" ht="15.75" x14ac:dyDescent="0.25">
      <c r="A10" s="59"/>
      <c r="B10" s="140" t="s">
        <v>563</v>
      </c>
      <c r="C10" s="666" t="str">
        <f>Matricule</f>
        <v/>
      </c>
      <c r="D10" s="667"/>
      <c r="M10" s="75"/>
    </row>
    <row r="11" spans="1:13" x14ac:dyDescent="0.2">
      <c r="A11" s="59"/>
      <c r="B11" s="140" t="str">
        <f>IF(Lang="Français","Masse sans propu",IF(Lang="English","Mass without M",""))</f>
        <v>Masse sans propu</v>
      </c>
      <c r="C11" s="662">
        <f>MasseSans</f>
        <v>2.5950000000000002</v>
      </c>
      <c r="D11" s="662"/>
      <c r="M11" s="75"/>
    </row>
    <row r="12" spans="1:13" x14ac:dyDescent="0.2">
      <c r="A12" s="59"/>
      <c r="B12" s="140" t="str">
        <f>IF(Lang="Français","Masse totale",IF(Lang="English","Total mass",""))</f>
        <v>Masse totale</v>
      </c>
      <c r="C12" s="665" t="str">
        <f ca="1">MassePlein &amp; " kg ±" &amp; MasseSans &amp; " kg"</f>
        <v>2,7549 kg ±2,595 kg</v>
      </c>
      <c r="D12" s="665"/>
      <c r="M12" s="75"/>
    </row>
    <row r="13" spans="1:13" x14ac:dyDescent="0.2">
      <c r="A13" s="59"/>
      <c r="B13" s="227" t="str">
        <f>IF(Lang="Français","Propulseur",IF(Lang="English","Motor",""))</f>
        <v>Propulseur</v>
      </c>
      <c r="C13" s="628" t="str">
        <f>Propu</f>
        <v>Pandora (Pro24-6G BS)</v>
      </c>
      <c r="D13" s="629"/>
      <c r="M13" s="75"/>
    </row>
    <row r="14" spans="1:13" x14ac:dyDescent="0.2">
      <c r="A14" s="59"/>
      <c r="B14" s="1"/>
      <c r="C14" s="1"/>
      <c r="D14" s="1"/>
      <c r="M14" s="75"/>
    </row>
    <row r="15" spans="1:13" x14ac:dyDescent="0.2">
      <c r="A15" s="74"/>
      <c r="C15" s="599" t="str">
        <f>IF(Lang="Français","Traînée Aérdynamique",IF(Lang="English","Drag",""))</f>
        <v>Traînée Aérdynamique</v>
      </c>
      <c r="D15" s="599"/>
      <c r="M15" s="75"/>
    </row>
    <row r="16" spans="1:13" x14ac:dyDescent="0.2">
      <c r="A16" s="74"/>
      <c r="B16" s="139" t="str">
        <f>IF(Lang="Français","Diamètre Ø",IF(Lang="English","Diameter Ø",""))</f>
        <v>Diamètre Ø</v>
      </c>
      <c r="C16" s="663">
        <f>D_ref</f>
        <v>84</v>
      </c>
      <c r="D16" s="663"/>
      <c r="M16" s="75"/>
    </row>
    <row r="17" spans="1:13" x14ac:dyDescent="0.2">
      <c r="A17" s="74"/>
      <c r="B17" s="140" t="s">
        <v>5</v>
      </c>
      <c r="C17" s="664">
        <f>Cx</f>
        <v>0.6</v>
      </c>
      <c r="D17" s="664"/>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42</v>
      </c>
      <c r="C43" s="403">
        <f t="shared" ref="C43:C69" ca="1" si="1">1/2*Rho_moyen*PI()*D_var^2/4*Cx/10^6</f>
        <v>5.0915006738566377E-4</v>
      </c>
      <c r="D43" s="400">
        <f ca="1">MpropuPlein+0*MasseSans</f>
        <v>0.15989999999999999</v>
      </c>
      <c r="E43" s="400">
        <f t="shared" ref="E43:E69" ca="1" si="2">m_var - 0.5*m_poudre</f>
        <v>0.12209999999999999</v>
      </c>
      <c r="F43" s="400">
        <f t="shared" ref="F43:F69" ca="1" si="3">m_var - m_poudre</f>
        <v>8.43E-2</v>
      </c>
      <c r="G43" s="407">
        <f t="shared" ref="G43:G69" ca="1" si="4">MAX(0, (I_total/Temps_fin_propu)/m_prop-g)</f>
        <v>573.48238329238336</v>
      </c>
      <c r="H43" s="406">
        <f t="shared" ref="H43:H69" ca="1" si="5">Q_var/m_prop</f>
        <v>4.1699432218318087E-3</v>
      </c>
      <c r="I43" s="403">
        <f t="shared" ref="I43:I69" ca="1" si="6">Q_var/m_bal</f>
        <v>6.0397398266389532E-3</v>
      </c>
      <c r="J43" s="403">
        <f t="shared" ref="J43:J69" ca="1" si="7">1/(2*b_prop)*LN(  ((EXP(2*SQRT(a_prop*b_prop)*Temps_fin_propu)+1)^2)  /  (((1+1)^2)*EXP(2*SQRT(a_prop*b_prop)*Temps_fin_propu)))</f>
        <v>575.96294147993024</v>
      </c>
      <c r="K43" s="410">
        <f t="shared" ref="K43:K69" ca="1" si="8">SQRT(a_prop/b_prop)  *  (EXP(2*SQRT(a_prop*b_prop)*Temps_fin_propu)-1)/(EXP(2*SQRT(a_prop*b_prop)*Temps_fin_propu)+1)</f>
        <v>369.32332981562001</v>
      </c>
      <c r="L43" s="413">
        <f t="shared" ref="L43:L69" ca="1" si="9">alt_prop + 1/(2*b_bal) * LN(1+b_bal/g*V_prop^2)</f>
        <v>943.72596711044525</v>
      </c>
      <c r="M43" s="416">
        <f t="shared" ref="M43:M69" ca="1" si="10">Temps_fin_propu + ATAN(SQRT(b_bal/g)*V_prop)/SQRT(b_bal*g)</f>
        <v>8.0066772056142064</v>
      </c>
    </row>
    <row r="44" spans="1:13" x14ac:dyDescent="0.2">
      <c r="B44" s="426">
        <f t="shared" ca="1" si="0"/>
        <v>42</v>
      </c>
      <c r="C44" s="404">
        <f t="shared" ca="1" si="1"/>
        <v>5.0915006738566377E-4</v>
      </c>
      <c r="D44" s="401">
        <f ca="1">MpropuPlein+0.25*MasseSans</f>
        <v>0.80865000000000009</v>
      </c>
      <c r="E44" s="401">
        <f t="shared" ca="1" si="2"/>
        <v>0.77085000000000015</v>
      </c>
      <c r="F44" s="401">
        <f t="shared" ca="1" si="3"/>
        <v>0.73305000000000009</v>
      </c>
      <c r="G44" s="408">
        <f t="shared" ca="1" si="4"/>
        <v>82.581515859116536</v>
      </c>
      <c r="H44" s="404">
        <f t="shared" ca="1" si="5"/>
        <v>6.6050472515491172E-4</v>
      </c>
      <c r="I44" s="404">
        <f t="shared" ca="1" si="6"/>
        <v>6.9456390066934546E-4</v>
      </c>
      <c r="J44" s="404">
        <f t="shared" ca="1" si="7"/>
        <v>159.48491691452887</v>
      </c>
      <c r="K44" s="411">
        <f t="shared" ca="1" si="8"/>
        <v>154.11441972347129</v>
      </c>
      <c r="L44" s="414">
        <f t="shared" ca="1" si="9"/>
        <v>869.58791340694938</v>
      </c>
      <c r="M44" s="417">
        <f t="shared" ca="1" si="10"/>
        <v>13.071543582346775</v>
      </c>
    </row>
    <row r="45" spans="1:13" x14ac:dyDescent="0.2">
      <c r="B45" s="426">
        <f t="shared" ca="1" si="0"/>
        <v>42</v>
      </c>
      <c r="C45" s="404">
        <f t="shared" ca="1" si="1"/>
        <v>5.0915006738566377E-4</v>
      </c>
      <c r="D45" s="401">
        <f ca="1">MpropuPlein+0.5*MasseSans</f>
        <v>1.4574</v>
      </c>
      <c r="E45" s="401">
        <f t="shared" ca="1" si="2"/>
        <v>1.4196</v>
      </c>
      <c r="F45" s="401">
        <f t="shared" ca="1" si="3"/>
        <v>1.3818000000000001</v>
      </c>
      <c r="G45" s="408">
        <f t="shared" ca="1" si="4"/>
        <v>40.359061707523246</v>
      </c>
      <c r="H45" s="404">
        <f t="shared" ca="1" si="5"/>
        <v>3.5865741574081695E-4</v>
      </c>
      <c r="I45" s="404">
        <f t="shared" ca="1" si="6"/>
        <v>3.6846871282795172E-4</v>
      </c>
      <c r="J45" s="404">
        <f t="shared" ca="1" si="7"/>
        <v>79.951008695991803</v>
      </c>
      <c r="K45" s="411">
        <f t="shared" ca="1" si="8"/>
        <v>79.195509595649895</v>
      </c>
      <c r="L45" s="414">
        <f t="shared" ca="1" si="9"/>
        <v>367.00115585915199</v>
      </c>
      <c r="M45" s="417">
        <f t="shared" ca="1" si="10"/>
        <v>9.5158489144982177</v>
      </c>
    </row>
    <row r="46" spans="1:13" x14ac:dyDescent="0.2">
      <c r="B46" s="426">
        <f t="shared" ca="1" si="0"/>
        <v>42</v>
      </c>
      <c r="C46" s="404">
        <f t="shared" ca="1" si="1"/>
        <v>5.0915006738566377E-4</v>
      </c>
      <c r="D46" s="401">
        <f ca="1">MpropuPlein+0.75*MasseSans</f>
        <v>2.10615</v>
      </c>
      <c r="E46" s="401">
        <f t="shared" ca="1" si="2"/>
        <v>2.0683500000000001</v>
      </c>
      <c r="F46" s="401">
        <f t="shared" ca="1" si="3"/>
        <v>2.0305499999999999</v>
      </c>
      <c r="G46" s="408">
        <f t="shared" ca="1" si="4"/>
        <v>24.623243890057289</v>
      </c>
      <c r="H46" s="404">
        <f t="shared" ca="1" si="5"/>
        <v>2.4616243256009079E-4</v>
      </c>
      <c r="I46" s="404">
        <f t="shared" ca="1" si="6"/>
        <v>2.5074490526491041E-4</v>
      </c>
      <c r="J46" s="404">
        <f t="shared" ca="1" si="7"/>
        <v>49.048765924750597</v>
      </c>
      <c r="K46" s="411">
        <f t="shared" ca="1" si="8"/>
        <v>48.852311960598925</v>
      </c>
      <c r="L46" s="414">
        <f t="shared" ca="1" si="9"/>
        <v>167.12160450883044</v>
      </c>
      <c r="M46" s="417">
        <f t="shared" ca="1" si="10"/>
        <v>6.88214245905049</v>
      </c>
    </row>
    <row r="47" spans="1:13" x14ac:dyDescent="0.2">
      <c r="B47" s="426">
        <f t="shared" ca="1" si="0"/>
        <v>42</v>
      </c>
      <c r="C47" s="404">
        <f t="shared" ca="1" si="1"/>
        <v>5.0915006738566377E-4</v>
      </c>
      <c r="D47" s="401">
        <f ca="1">MpropuPlein+1*MasseSans</f>
        <v>2.7549000000000001</v>
      </c>
      <c r="E47" s="401">
        <f t="shared" ca="1" si="2"/>
        <v>2.7171000000000003</v>
      </c>
      <c r="F47" s="401">
        <f t="shared" ca="1" si="3"/>
        <v>2.6793</v>
      </c>
      <c r="G47" s="408">
        <f t="shared" ca="1" si="4"/>
        <v>16.401769901733459</v>
      </c>
      <c r="H47" s="404">
        <f t="shared" ca="1" si="5"/>
        <v>1.8738731271784759E-4</v>
      </c>
      <c r="I47" s="404">
        <f t="shared" ca="1" si="6"/>
        <v>1.9003100339105877E-4</v>
      </c>
      <c r="J47" s="404">
        <f t="shared" ca="1" si="7"/>
        <v>32.73654524376915</v>
      </c>
      <c r="K47" s="411">
        <f t="shared" ca="1" si="8"/>
        <v>32.669769402602057</v>
      </c>
      <c r="L47" s="414">
        <f t="shared" ca="1" si="9"/>
        <v>86.581100872897153</v>
      </c>
      <c r="M47" s="417">
        <f t="shared" ca="1" si="10"/>
        <v>5.3075812002044334</v>
      </c>
    </row>
    <row r="48" spans="1:13" x14ac:dyDescent="0.2">
      <c r="B48" s="426">
        <f t="shared" ca="1" si="0"/>
        <v>42</v>
      </c>
      <c r="C48" s="404">
        <f t="shared" ca="1" si="1"/>
        <v>5.0915006738566377E-4</v>
      </c>
      <c r="D48" s="401">
        <f ca="1">MpropuPlein+1.25*MasseSans</f>
        <v>3.4036500000000003</v>
      </c>
      <c r="E48" s="401">
        <f t="shared" ca="1" si="2"/>
        <v>3.3658500000000005</v>
      </c>
      <c r="F48" s="401">
        <f t="shared" ca="1" si="3"/>
        <v>3.3280500000000002</v>
      </c>
      <c r="G48" s="408">
        <f t="shared" ca="1" si="4"/>
        <v>11.34958821694371</v>
      </c>
      <c r="H48" s="404">
        <f t="shared" ca="1" si="5"/>
        <v>1.5126938734217617E-4</v>
      </c>
      <c r="I48" s="404">
        <f t="shared" ca="1" si="6"/>
        <v>1.5298750541177679E-4</v>
      </c>
      <c r="J48" s="404">
        <f t="shared" ca="1" si="7"/>
        <v>22.673243264403958</v>
      </c>
      <c r="K48" s="411">
        <f t="shared" ca="1" si="8"/>
        <v>22.647357475607159</v>
      </c>
      <c r="L48" s="414">
        <f t="shared" ca="1" si="9"/>
        <v>48.711081375837537</v>
      </c>
      <c r="M48" s="417">
        <f t="shared" ca="1" si="10"/>
        <v>4.3024732030782351</v>
      </c>
    </row>
    <row r="49" spans="2:13" x14ac:dyDescent="0.2">
      <c r="B49" s="426">
        <f t="shared" ca="1" si="0"/>
        <v>42</v>
      </c>
      <c r="C49" s="404">
        <f t="shared" ca="1" si="1"/>
        <v>5.0915006738566377E-4</v>
      </c>
      <c r="D49" s="401">
        <f ca="1">MpropuPlein+1.5*MasseSans</f>
        <v>4.0524000000000004</v>
      </c>
      <c r="E49" s="401">
        <f t="shared" ca="1" si="2"/>
        <v>4.0146000000000006</v>
      </c>
      <c r="F49" s="401">
        <f t="shared" ca="1" si="3"/>
        <v>3.9768000000000003</v>
      </c>
      <c r="G49" s="408">
        <f t="shared" ca="1" si="4"/>
        <v>7.9302480944552354</v>
      </c>
      <c r="H49" s="404">
        <f t="shared" ca="1" si="5"/>
        <v>1.2682460703075367E-4</v>
      </c>
      <c r="I49" s="404">
        <f t="shared" ca="1" si="6"/>
        <v>1.2803009137639905E-4</v>
      </c>
      <c r="J49" s="404">
        <f t="shared" ca="1" si="7"/>
        <v>15.849873114641545</v>
      </c>
      <c r="K49" s="411">
        <f t="shared" ca="1" si="8"/>
        <v>15.83926142122403</v>
      </c>
      <c r="L49" s="414">
        <f t="shared" ca="1" si="9"/>
        <v>28.61604896533661</v>
      </c>
      <c r="M49" s="417">
        <f t="shared" ca="1" si="10"/>
        <v>3.6128448549938312</v>
      </c>
    </row>
    <row r="50" spans="2:13" x14ac:dyDescent="0.2">
      <c r="B50" s="426">
        <f t="shared" ca="1" si="0"/>
        <v>42</v>
      </c>
      <c r="C50" s="404">
        <f t="shared" ca="1" si="1"/>
        <v>5.0915006738566377E-4</v>
      </c>
      <c r="D50" s="401">
        <f ca="1">MpropuPlein+1.75*MasseSans</f>
        <v>4.7011500000000011</v>
      </c>
      <c r="E50" s="401">
        <f t="shared" ca="1" si="2"/>
        <v>4.6633500000000012</v>
      </c>
      <c r="F50" s="401">
        <f t="shared" ca="1" si="3"/>
        <v>4.6255500000000014</v>
      </c>
      <c r="G50" s="408">
        <f t="shared" ca="1" si="4"/>
        <v>5.4622828009906996</v>
      </c>
      <c r="H50" s="404">
        <f t="shared" ca="1" si="5"/>
        <v>1.0918118249448651E-4</v>
      </c>
      <c r="I50" s="404">
        <f t="shared" ca="1" si="6"/>
        <v>1.1007341124529269E-4</v>
      </c>
      <c r="J50" s="404">
        <f t="shared" ca="1" si="7"/>
        <v>10.920224912347997</v>
      </c>
      <c r="K50" s="411">
        <f t="shared" ca="1" si="8"/>
        <v>10.915886981747494</v>
      </c>
      <c r="L50" s="414">
        <f t="shared" ca="1" si="9"/>
        <v>16.989389200558328</v>
      </c>
      <c r="M50" s="417">
        <f t="shared" ca="1" si="10"/>
        <v>3.1122350696057812</v>
      </c>
    </row>
    <row r="51" spans="2:13" x14ac:dyDescent="0.2">
      <c r="B51" s="427">
        <f t="shared" ca="1" si="0"/>
        <v>42</v>
      </c>
      <c r="C51" s="405">
        <f t="shared" ca="1" si="1"/>
        <v>5.0915006738566377E-4</v>
      </c>
      <c r="D51" s="402">
        <f ca="1">MpropuPlein+2*MasseSans</f>
        <v>5.3499000000000008</v>
      </c>
      <c r="E51" s="402">
        <f t="shared" ca="1" si="2"/>
        <v>5.3121000000000009</v>
      </c>
      <c r="F51" s="402">
        <f t="shared" ca="1" si="3"/>
        <v>5.2743000000000011</v>
      </c>
      <c r="G51" s="409">
        <f t="shared" ca="1" si="4"/>
        <v>3.5971271248658692</v>
      </c>
      <c r="H51" s="405">
        <f t="shared" ca="1" si="5"/>
        <v>9.5847229416928087E-5</v>
      </c>
      <c r="I51" s="405">
        <f t="shared" ca="1" si="6"/>
        <v>9.653415000770978E-5</v>
      </c>
      <c r="J51" s="405">
        <f t="shared" ca="1" si="7"/>
        <v>7.1926012598520019</v>
      </c>
      <c r="K51" s="412">
        <f t="shared" ca="1" si="8"/>
        <v>7.1909488775920796</v>
      </c>
      <c r="L51" s="415">
        <f t="shared" ca="1" si="9"/>
        <v>9.8274939271863087</v>
      </c>
      <c r="M51" s="418">
        <f t="shared" ca="1" si="10"/>
        <v>2.7328980183732496</v>
      </c>
    </row>
    <row r="52" spans="2:13" x14ac:dyDescent="0.2">
      <c r="B52" s="425">
        <f t="shared" ref="B52:B60" si="11">D_ref</f>
        <v>84</v>
      </c>
      <c r="C52" s="403">
        <f t="shared" si="1"/>
        <v>2.0366002695426551E-3</v>
      </c>
      <c r="D52" s="400">
        <f ca="1">MpropuPlein+0*MasseSans</f>
        <v>0.15989999999999999</v>
      </c>
      <c r="E52" s="400">
        <f t="shared" ca="1" si="2"/>
        <v>0.12209999999999999</v>
      </c>
      <c r="F52" s="400">
        <f t="shared" ca="1" si="3"/>
        <v>8.43E-2</v>
      </c>
      <c r="G52" s="407">
        <f t="shared" ca="1" si="4"/>
        <v>573.48238329238336</v>
      </c>
      <c r="H52" s="403">
        <f t="shared" ca="1" si="5"/>
        <v>1.6679772887327235E-2</v>
      </c>
      <c r="I52" s="403">
        <f t="shared" ca="1" si="6"/>
        <v>2.4158959306555813E-2</v>
      </c>
      <c r="J52" s="403">
        <f t="shared" ca="1" si="7"/>
        <v>329.29127253077786</v>
      </c>
      <c r="K52" s="410">
        <f t="shared" ca="1" si="8"/>
        <v>185.42201346176171</v>
      </c>
      <c r="L52" s="413">
        <f t="shared" ca="1" si="9"/>
        <v>421.40012018928473</v>
      </c>
      <c r="M52" s="416">
        <f t="shared" ca="1" si="10"/>
        <v>5.004247001248757</v>
      </c>
    </row>
    <row r="53" spans="2:13" x14ac:dyDescent="0.2">
      <c r="B53" s="426">
        <f t="shared" si="11"/>
        <v>84</v>
      </c>
      <c r="C53" s="404">
        <f t="shared" si="1"/>
        <v>2.0366002695426551E-3</v>
      </c>
      <c r="D53" s="401">
        <f ca="1">MpropuPlein+0.25*MasseSans</f>
        <v>0.80865000000000009</v>
      </c>
      <c r="E53" s="401">
        <f t="shared" ca="1" si="2"/>
        <v>0.77085000000000015</v>
      </c>
      <c r="F53" s="401">
        <f t="shared" ca="1" si="3"/>
        <v>0.73305000000000009</v>
      </c>
      <c r="G53" s="408">
        <f t="shared" ca="1" si="4"/>
        <v>82.581515859116536</v>
      </c>
      <c r="H53" s="404">
        <f t="shared" ca="1" si="5"/>
        <v>2.6420189006196469E-3</v>
      </c>
      <c r="I53" s="404">
        <f t="shared" ca="1" si="6"/>
        <v>2.7782556026773818E-3</v>
      </c>
      <c r="J53" s="404">
        <f t="shared" ca="1" si="7"/>
        <v>145.5732191942086</v>
      </c>
      <c r="K53" s="411">
        <f t="shared" ca="1" si="8"/>
        <v>129.51143749249246</v>
      </c>
      <c r="L53" s="414">
        <f t="shared" ca="1" si="9"/>
        <v>460.38388391356466</v>
      </c>
      <c r="M53" s="417">
        <f t="shared" ca="1" si="10"/>
        <v>8.9091657329130758</v>
      </c>
    </row>
    <row r="54" spans="2:13" x14ac:dyDescent="0.2">
      <c r="B54" s="426">
        <f t="shared" si="11"/>
        <v>84</v>
      </c>
      <c r="C54" s="404">
        <f t="shared" si="1"/>
        <v>2.0366002695426551E-3</v>
      </c>
      <c r="D54" s="401">
        <f ca="1">MpropuPlein+0.5*MasseSans</f>
        <v>1.4574</v>
      </c>
      <c r="E54" s="401">
        <f t="shared" ca="1" si="2"/>
        <v>1.4196</v>
      </c>
      <c r="F54" s="401">
        <f t="shared" ca="1" si="3"/>
        <v>1.3818000000000001</v>
      </c>
      <c r="G54" s="408">
        <f t="shared" ca="1" si="4"/>
        <v>40.359061707523246</v>
      </c>
      <c r="H54" s="404">
        <f t="shared" ca="1" si="5"/>
        <v>1.4346296629632678E-3</v>
      </c>
      <c r="I54" s="404">
        <f t="shared" ca="1" si="6"/>
        <v>1.4738748513118069E-3</v>
      </c>
      <c r="J54" s="404">
        <f t="shared" ca="1" si="7"/>
        <v>77.782229252502205</v>
      </c>
      <c r="K54" s="411">
        <f t="shared" ca="1" si="8"/>
        <v>75.014464217924001</v>
      </c>
      <c r="L54" s="414">
        <f t="shared" ca="1" si="9"/>
        <v>285.64129540267635</v>
      </c>
      <c r="M54" s="417">
        <f t="shared" ca="1" si="10"/>
        <v>8.183009592393141</v>
      </c>
    </row>
    <row r="55" spans="2:13" x14ac:dyDescent="0.2">
      <c r="B55" s="426">
        <f t="shared" si="11"/>
        <v>84</v>
      </c>
      <c r="C55" s="404">
        <f t="shared" si="1"/>
        <v>2.0366002695426551E-3</v>
      </c>
      <c r="D55" s="401">
        <f ca="1">MpropuPlein+0.75*MasseSans</f>
        <v>2.10615</v>
      </c>
      <c r="E55" s="401">
        <f t="shared" ca="1" si="2"/>
        <v>2.0683500000000001</v>
      </c>
      <c r="F55" s="401">
        <f t="shared" ca="1" si="3"/>
        <v>2.0305499999999999</v>
      </c>
      <c r="G55" s="408">
        <f t="shared" ca="1" si="4"/>
        <v>24.623243890057289</v>
      </c>
      <c r="H55" s="404">
        <f t="shared" ca="1" si="5"/>
        <v>9.8464973024036317E-4</v>
      </c>
      <c r="I55" s="404">
        <f t="shared" ca="1" si="6"/>
        <v>1.0029796210596416E-3</v>
      </c>
      <c r="J55" s="404">
        <f t="shared" ca="1" si="7"/>
        <v>48.470489649789698</v>
      </c>
      <c r="K55" s="411">
        <f t="shared" ca="1" si="8"/>
        <v>47.713919924024111</v>
      </c>
      <c r="L55" s="414">
        <f t="shared" ca="1" si="9"/>
        <v>152.78851602133287</v>
      </c>
      <c r="M55" s="417">
        <f t="shared" ca="1" si="10"/>
        <v>6.5317077378753554</v>
      </c>
    </row>
    <row r="56" spans="2:13" x14ac:dyDescent="0.2">
      <c r="B56" s="426">
        <f t="shared" si="11"/>
        <v>84</v>
      </c>
      <c r="C56" s="404">
        <f t="shared" si="1"/>
        <v>2.0366002695426551E-3</v>
      </c>
      <c r="D56" s="401">
        <f ca="1">MpropuPlein+1*MasseSans</f>
        <v>2.7549000000000001</v>
      </c>
      <c r="E56" s="401">
        <f t="shared" ca="1" si="2"/>
        <v>2.7171000000000003</v>
      </c>
      <c r="F56" s="401">
        <f t="shared" ca="1" si="3"/>
        <v>2.6793</v>
      </c>
      <c r="G56" s="408">
        <f t="shared" ca="1" si="4"/>
        <v>16.401769901733459</v>
      </c>
      <c r="H56" s="404">
        <f t="shared" ca="1" si="5"/>
        <v>7.4954925087139036E-4</v>
      </c>
      <c r="I56" s="404">
        <f t="shared" ca="1" si="6"/>
        <v>7.6012401356423506E-4</v>
      </c>
      <c r="J56" s="404">
        <f t="shared" ca="1" si="7"/>
        <v>32.538157276378215</v>
      </c>
      <c r="K56" s="411">
        <f t="shared" ca="1" si="8"/>
        <v>32.276197603591115</v>
      </c>
      <c r="L56" s="414">
        <f t="shared" ca="1" si="9"/>
        <v>83.600428934212886</v>
      </c>
      <c r="M56" s="417">
        <f t="shared" ca="1" si="10"/>
        <v>5.2056608322537183</v>
      </c>
    </row>
    <row r="57" spans="2:13" x14ac:dyDescent="0.2">
      <c r="B57" s="426">
        <f t="shared" si="11"/>
        <v>84</v>
      </c>
      <c r="C57" s="404">
        <f t="shared" si="1"/>
        <v>2.0366002695426551E-3</v>
      </c>
      <c r="D57" s="401">
        <f ca="1">MpropuPlein+1.25*MasseSans</f>
        <v>3.4036500000000003</v>
      </c>
      <c r="E57" s="401">
        <f t="shared" ca="1" si="2"/>
        <v>3.3658500000000005</v>
      </c>
      <c r="F57" s="401">
        <f t="shared" ca="1" si="3"/>
        <v>3.3280500000000002</v>
      </c>
      <c r="G57" s="408">
        <f t="shared" ca="1" si="4"/>
        <v>11.34958821694371</v>
      </c>
      <c r="H57" s="404">
        <f t="shared" ca="1" si="5"/>
        <v>6.050775493687047E-4</v>
      </c>
      <c r="I57" s="404">
        <f t="shared" ca="1" si="6"/>
        <v>6.1195002164710717E-4</v>
      </c>
      <c r="J57" s="404">
        <f t="shared" ca="1" si="7"/>
        <v>22.596008800613447</v>
      </c>
      <c r="K57" s="411">
        <f t="shared" ca="1" si="8"/>
        <v>22.493589893178513</v>
      </c>
      <c r="L57" s="414">
        <f t="shared" ca="1" si="9"/>
        <v>47.985465170862291</v>
      </c>
      <c r="M57" s="417">
        <f t="shared" ca="1" si="10"/>
        <v>4.2692482337236193</v>
      </c>
    </row>
    <row r="58" spans="2:13" x14ac:dyDescent="0.2">
      <c r="B58" s="426">
        <f t="shared" si="11"/>
        <v>84</v>
      </c>
      <c r="C58" s="404">
        <f t="shared" si="1"/>
        <v>2.0366002695426551E-3</v>
      </c>
      <c r="D58" s="401">
        <f ca="1">MpropuPlein+1.5*MasseSans</f>
        <v>4.0524000000000004</v>
      </c>
      <c r="E58" s="401">
        <f t="shared" ca="1" si="2"/>
        <v>4.0146000000000006</v>
      </c>
      <c r="F58" s="401">
        <f t="shared" ca="1" si="3"/>
        <v>3.9768000000000003</v>
      </c>
      <c r="G58" s="408">
        <f t="shared" ca="1" si="4"/>
        <v>7.9302480944552354</v>
      </c>
      <c r="H58" s="404">
        <f t="shared" ca="1" si="5"/>
        <v>5.0729842812301468E-4</v>
      </c>
      <c r="I58" s="404">
        <f t="shared" ca="1" si="6"/>
        <v>5.1212036550559619E-4</v>
      </c>
      <c r="J58" s="404">
        <f t="shared" ca="1" si="7"/>
        <v>15.818139964383654</v>
      </c>
      <c r="K58" s="411">
        <f t="shared" ca="1" si="8"/>
        <v>15.77596450892529</v>
      </c>
      <c r="L58" s="414">
        <f t="shared" ca="1" si="9"/>
        <v>28.421510189072684</v>
      </c>
      <c r="M58" s="417">
        <f t="shared" ca="1" si="10"/>
        <v>3.6012404506881524</v>
      </c>
    </row>
    <row r="59" spans="2:13" x14ac:dyDescent="0.2">
      <c r="B59" s="426">
        <f t="shared" si="11"/>
        <v>84</v>
      </c>
      <c r="C59" s="404">
        <f t="shared" si="1"/>
        <v>2.0366002695426551E-3</v>
      </c>
      <c r="D59" s="401">
        <f ca="1">MpropuPlein+1.75*MasseSans</f>
        <v>4.7011500000000011</v>
      </c>
      <c r="E59" s="401">
        <f t="shared" ca="1" si="2"/>
        <v>4.6633500000000012</v>
      </c>
      <c r="F59" s="401">
        <f t="shared" ca="1" si="3"/>
        <v>4.6255500000000014</v>
      </c>
      <c r="G59" s="408">
        <f t="shared" ca="1" si="4"/>
        <v>5.4622828009906996</v>
      </c>
      <c r="H59" s="404">
        <f t="shared" ca="1" si="5"/>
        <v>4.3672472997794603E-4</v>
      </c>
      <c r="I59" s="404">
        <f t="shared" ca="1" si="6"/>
        <v>4.4029364498117076E-4</v>
      </c>
      <c r="J59" s="404">
        <f t="shared" ca="1" si="7"/>
        <v>10.907235880141258</v>
      </c>
      <c r="K59" s="411">
        <f t="shared" ca="1" si="8"/>
        <v>10.889950111846426</v>
      </c>
      <c r="L59" s="414">
        <f t="shared" ca="1" si="9"/>
        <v>16.935600897388287</v>
      </c>
      <c r="M59" s="417">
        <f t="shared" ca="1" si="10"/>
        <v>3.1081234017544377</v>
      </c>
    </row>
    <row r="60" spans="2:13" x14ac:dyDescent="0.2">
      <c r="B60" s="427">
        <f t="shared" si="11"/>
        <v>84</v>
      </c>
      <c r="C60" s="405">
        <f t="shared" si="1"/>
        <v>2.0366002695426551E-3</v>
      </c>
      <c r="D60" s="402">
        <f ca="1">MpropuPlein+2*MasseSans</f>
        <v>5.3499000000000008</v>
      </c>
      <c r="E60" s="402">
        <f t="shared" ca="1" si="2"/>
        <v>5.3121000000000009</v>
      </c>
      <c r="F60" s="402">
        <f t="shared" ca="1" si="3"/>
        <v>5.2743000000000011</v>
      </c>
      <c r="G60" s="409">
        <f t="shared" ca="1" si="4"/>
        <v>3.5971271248658692</v>
      </c>
      <c r="H60" s="405">
        <f t="shared" ca="1" si="5"/>
        <v>3.8338891766771235E-4</v>
      </c>
      <c r="I60" s="405">
        <f t="shared" ca="1" si="6"/>
        <v>3.8613660003083912E-4</v>
      </c>
      <c r="J60" s="405">
        <f t="shared" ca="1" si="7"/>
        <v>7.1876495724884988</v>
      </c>
      <c r="K60" s="412">
        <f t="shared" ca="1" si="8"/>
        <v>7.1810545927682581</v>
      </c>
      <c r="L60" s="415">
        <f t="shared" ca="1" si="9"/>
        <v>9.8133009719111186</v>
      </c>
      <c r="M60" s="418">
        <f t="shared" ca="1" si="10"/>
        <v>2.7315190472875144</v>
      </c>
    </row>
    <row r="61" spans="2:13" x14ac:dyDescent="0.2">
      <c r="B61" s="425">
        <f t="shared" ref="B61:B69" si="12">D_ref*1.5</f>
        <v>126</v>
      </c>
      <c r="C61" s="403">
        <f t="shared" si="1"/>
        <v>4.5823506064709748E-3</v>
      </c>
      <c r="D61" s="400">
        <f ca="1">MpropuPlein+0*MasseSans</f>
        <v>0.15989999999999999</v>
      </c>
      <c r="E61" s="400">
        <f t="shared" ca="1" si="2"/>
        <v>0.12209999999999999</v>
      </c>
      <c r="F61" s="400">
        <f t="shared" ca="1" si="3"/>
        <v>8.43E-2</v>
      </c>
      <c r="G61" s="407">
        <f t="shared" ca="1" si="4"/>
        <v>573.48238329238336</v>
      </c>
      <c r="H61" s="403">
        <f t="shared" ca="1" si="5"/>
        <v>3.7529488996486282E-2</v>
      </c>
      <c r="I61" s="403">
        <f t="shared" ca="1" si="6"/>
        <v>5.4357658439750593E-2</v>
      </c>
      <c r="J61" s="403">
        <f t="shared" ca="1" si="7"/>
        <v>228.76204633138835</v>
      </c>
      <c r="K61" s="410">
        <f t="shared" ca="1" si="8"/>
        <v>123.6157213781817</v>
      </c>
      <c r="L61" s="413">
        <f t="shared" ca="1" si="9"/>
        <v>269.6994657695717</v>
      </c>
      <c r="M61" s="416">
        <f t="shared" ca="1" si="10"/>
        <v>4.0028325784479488</v>
      </c>
    </row>
    <row r="62" spans="2:13" x14ac:dyDescent="0.2">
      <c r="B62" s="426">
        <f t="shared" si="12"/>
        <v>126</v>
      </c>
      <c r="C62" s="404">
        <f t="shared" si="1"/>
        <v>4.5823506064709748E-3</v>
      </c>
      <c r="D62" s="401">
        <f ca="1">MpropuPlein+0.25*MasseSans</f>
        <v>0.80865000000000009</v>
      </c>
      <c r="E62" s="401">
        <f t="shared" ca="1" si="2"/>
        <v>0.77085000000000015</v>
      </c>
      <c r="F62" s="401">
        <f t="shared" ca="1" si="3"/>
        <v>0.73305000000000009</v>
      </c>
      <c r="G62" s="408">
        <f t="shared" ca="1" si="4"/>
        <v>82.581515859116536</v>
      </c>
      <c r="H62" s="404">
        <f t="shared" ca="1" si="5"/>
        <v>5.9445425263942066E-3</v>
      </c>
      <c r="I62" s="404">
        <f t="shared" ca="1" si="6"/>
        <v>6.2510751060241105E-3</v>
      </c>
      <c r="J62" s="404">
        <f t="shared" ca="1" si="7"/>
        <v>129.03186489552337</v>
      </c>
      <c r="K62" s="411">
        <f t="shared" ca="1" si="8"/>
        <v>104.3843762398344</v>
      </c>
      <c r="L62" s="414">
        <f t="shared" ca="1" si="9"/>
        <v>294.78817191944802</v>
      </c>
      <c r="M62" s="417">
        <f t="shared" ca="1" si="10"/>
        <v>6.8784671877477104</v>
      </c>
    </row>
    <row r="63" spans="2:13" x14ac:dyDescent="0.2">
      <c r="B63" s="426">
        <f t="shared" si="12"/>
        <v>126</v>
      </c>
      <c r="C63" s="404">
        <f t="shared" si="1"/>
        <v>4.5823506064709748E-3</v>
      </c>
      <c r="D63" s="401">
        <f ca="1">MpropuPlein+0.5*MasseSans</f>
        <v>1.4574</v>
      </c>
      <c r="E63" s="401">
        <f t="shared" ca="1" si="2"/>
        <v>1.4196</v>
      </c>
      <c r="F63" s="401">
        <f t="shared" ca="1" si="3"/>
        <v>1.3818000000000001</v>
      </c>
      <c r="G63" s="408">
        <f t="shared" ca="1" si="4"/>
        <v>40.359061707523246</v>
      </c>
      <c r="H63" s="404">
        <f t="shared" ca="1" si="5"/>
        <v>3.2279167416673533E-3</v>
      </c>
      <c r="I63" s="404">
        <f t="shared" ca="1" si="6"/>
        <v>3.3162184154515665E-3</v>
      </c>
      <c r="J63" s="404">
        <f t="shared" ca="1" si="7"/>
        <v>74.549934550637659</v>
      </c>
      <c r="K63" s="411">
        <f t="shared" ca="1" si="8"/>
        <v>69.110871429725961</v>
      </c>
      <c r="L63" s="414">
        <f t="shared" ca="1" si="9"/>
        <v>219.46105267553858</v>
      </c>
      <c r="M63" s="417">
        <f t="shared" ca="1" si="10"/>
        <v>7.0122465756912531</v>
      </c>
    </row>
    <row r="64" spans="2:13" x14ac:dyDescent="0.2">
      <c r="B64" s="426">
        <f t="shared" si="12"/>
        <v>126</v>
      </c>
      <c r="C64" s="404">
        <f t="shared" si="1"/>
        <v>4.5823506064709748E-3</v>
      </c>
      <c r="D64" s="401">
        <f ca="1">MpropuPlein+0.75*MasseSans</f>
        <v>2.10615</v>
      </c>
      <c r="E64" s="401">
        <f t="shared" ca="1" si="2"/>
        <v>2.0683500000000001</v>
      </c>
      <c r="F64" s="401">
        <f t="shared" ca="1" si="3"/>
        <v>2.0305499999999999</v>
      </c>
      <c r="G64" s="408">
        <f t="shared" ca="1" si="4"/>
        <v>24.623243890057289</v>
      </c>
      <c r="H64" s="404">
        <f t="shared" ca="1" si="5"/>
        <v>2.2154618930408172E-3</v>
      </c>
      <c r="I64" s="404">
        <f t="shared" ca="1" si="6"/>
        <v>2.2567041473841938E-3</v>
      </c>
      <c r="J64" s="404">
        <f t="shared" ca="1" si="7"/>
        <v>47.553263036227342</v>
      </c>
      <c r="K64" s="411">
        <f t="shared" ca="1" si="8"/>
        <v>45.951780444975228</v>
      </c>
      <c r="L64" s="414">
        <f t="shared" ca="1" si="9"/>
        <v>135.27362533982927</v>
      </c>
      <c r="M64" s="417">
        <f t="shared" ca="1" si="10"/>
        <v>6.0908835523235991</v>
      </c>
    </row>
    <row r="65" spans="2:13" x14ac:dyDescent="0.2">
      <c r="B65" s="426">
        <f t="shared" si="12"/>
        <v>126</v>
      </c>
      <c r="C65" s="404">
        <f t="shared" si="1"/>
        <v>4.5823506064709748E-3</v>
      </c>
      <c r="D65" s="401">
        <f ca="1">MpropuPlein+1*MasseSans</f>
        <v>2.7549000000000001</v>
      </c>
      <c r="E65" s="401">
        <f t="shared" ca="1" si="2"/>
        <v>2.7171000000000003</v>
      </c>
      <c r="F65" s="401">
        <f t="shared" ca="1" si="3"/>
        <v>2.6793</v>
      </c>
      <c r="G65" s="408">
        <f t="shared" ca="1" si="4"/>
        <v>16.401769901733459</v>
      </c>
      <c r="H65" s="404">
        <f t="shared" ca="1" si="5"/>
        <v>1.6864858144606287E-3</v>
      </c>
      <c r="I65" s="404">
        <f t="shared" ca="1" si="6"/>
        <v>1.7102790305195293E-3</v>
      </c>
      <c r="J65" s="404">
        <f t="shared" ca="1" si="7"/>
        <v>32.215882807270383</v>
      </c>
      <c r="K65" s="411">
        <f t="shared" ca="1" si="8"/>
        <v>31.644936863165249</v>
      </c>
      <c r="L65" s="414">
        <f t="shared" ca="1" si="9"/>
        <v>79.259295278125165</v>
      </c>
      <c r="M65" s="417">
        <f t="shared" ca="1" si="10"/>
        <v>5.0555629135101423</v>
      </c>
    </row>
    <row r="66" spans="2:13" x14ac:dyDescent="0.2">
      <c r="B66" s="426">
        <f t="shared" si="12"/>
        <v>126</v>
      </c>
      <c r="C66" s="404">
        <f t="shared" si="1"/>
        <v>4.5823506064709748E-3</v>
      </c>
      <c r="D66" s="401">
        <f ca="1">MpropuPlein+1.25*MasseSans</f>
        <v>3.4036500000000003</v>
      </c>
      <c r="E66" s="401">
        <f t="shared" ca="1" si="2"/>
        <v>3.3658500000000005</v>
      </c>
      <c r="F66" s="401">
        <f t="shared" ca="1" si="3"/>
        <v>3.3280500000000002</v>
      </c>
      <c r="G66" s="408">
        <f t="shared" ca="1" si="4"/>
        <v>11.34958821694371</v>
      </c>
      <c r="H66" s="404">
        <f t="shared" ca="1" si="5"/>
        <v>1.3614244860795858E-3</v>
      </c>
      <c r="I66" s="404">
        <f t="shared" ca="1" si="6"/>
        <v>1.3768875487059913E-3</v>
      </c>
      <c r="J66" s="404">
        <f t="shared" ca="1" si="7"/>
        <v>22.469133555039068</v>
      </c>
      <c r="K66" s="411">
        <f t="shared" ca="1" si="8"/>
        <v>22.242804138536886</v>
      </c>
      <c r="L66" s="414">
        <f t="shared" ca="1" si="9"/>
        <v>46.848383650956166</v>
      </c>
      <c r="M66" s="417">
        <f t="shared" ca="1" si="10"/>
        <v>4.2169622480120204</v>
      </c>
    </row>
    <row r="67" spans="2:13" x14ac:dyDescent="0.2">
      <c r="B67" s="426">
        <f t="shared" si="12"/>
        <v>126</v>
      </c>
      <c r="C67" s="404">
        <f t="shared" si="1"/>
        <v>4.5823506064709748E-3</v>
      </c>
      <c r="D67" s="401">
        <f ca="1">MpropuPlein+1.5*MasseSans</f>
        <v>4.0524000000000004</v>
      </c>
      <c r="E67" s="401">
        <f t="shared" ca="1" si="2"/>
        <v>4.0146000000000006</v>
      </c>
      <c r="F67" s="401">
        <f t="shared" ca="1" si="3"/>
        <v>3.9768000000000003</v>
      </c>
      <c r="G67" s="408">
        <f t="shared" ca="1" si="4"/>
        <v>7.9302480944552354</v>
      </c>
      <c r="H67" s="404">
        <f t="shared" ca="1" si="5"/>
        <v>1.1414214632767834E-3</v>
      </c>
      <c r="I67" s="404">
        <f t="shared" ca="1" si="6"/>
        <v>1.1522708223875916E-3</v>
      </c>
      <c r="J67" s="404">
        <f t="shared" ca="1" si="7"/>
        <v>15.765700030198831</v>
      </c>
      <c r="K67" s="411">
        <f t="shared" ca="1" si="8"/>
        <v>15.671808010910629</v>
      </c>
      <c r="L67" s="414">
        <f t="shared" ca="1" si="9"/>
        <v>28.106657170276758</v>
      </c>
      <c r="M67" s="417">
        <f t="shared" ca="1" si="10"/>
        <v>3.5824323212850278</v>
      </c>
    </row>
    <row r="68" spans="2:13" x14ac:dyDescent="0.2">
      <c r="B68" s="426">
        <f t="shared" si="12"/>
        <v>126</v>
      </c>
      <c r="C68" s="404">
        <f t="shared" si="1"/>
        <v>4.5823506064709748E-3</v>
      </c>
      <c r="D68" s="401">
        <f ca="1">MpropuPlein+1.75*MasseSans</f>
        <v>4.7011500000000011</v>
      </c>
      <c r="E68" s="401">
        <f t="shared" ca="1" si="2"/>
        <v>4.6633500000000012</v>
      </c>
      <c r="F68" s="401">
        <f t="shared" ca="1" si="3"/>
        <v>4.6255500000000014</v>
      </c>
      <c r="G68" s="408">
        <f t="shared" ca="1" si="4"/>
        <v>5.4622828009906996</v>
      </c>
      <c r="H68" s="404">
        <f t="shared" ca="1" si="5"/>
        <v>9.8263064245037867E-4</v>
      </c>
      <c r="I68" s="404">
        <f t="shared" ca="1" si="6"/>
        <v>9.9066070120763447E-4</v>
      </c>
      <c r="J68" s="404">
        <f t="shared" ca="1" si="7"/>
        <v>10.885696902844574</v>
      </c>
      <c r="K68" s="411">
        <f t="shared" ca="1" si="8"/>
        <v>10.847049121965949</v>
      </c>
      <c r="L68" s="414">
        <f t="shared" ca="1" si="9"/>
        <v>16.847214249826916</v>
      </c>
      <c r="M68" s="417">
        <f t="shared" ca="1" si="10"/>
        <v>3.1013651678686855</v>
      </c>
    </row>
    <row r="69" spans="2:13" x14ac:dyDescent="0.2">
      <c r="B69" s="427">
        <f t="shared" si="12"/>
        <v>126</v>
      </c>
      <c r="C69" s="405">
        <f t="shared" si="1"/>
        <v>4.5823506064709748E-3</v>
      </c>
      <c r="D69" s="402">
        <f ca="1">MpropuPlein+2*MasseSans</f>
        <v>5.3499000000000008</v>
      </c>
      <c r="E69" s="402">
        <f t="shared" ca="1" si="2"/>
        <v>5.3121000000000009</v>
      </c>
      <c r="F69" s="402">
        <f t="shared" ca="1" si="3"/>
        <v>5.2743000000000011</v>
      </c>
      <c r="G69" s="409">
        <f t="shared" ca="1" si="4"/>
        <v>3.5971271248658692</v>
      </c>
      <c r="H69" s="405">
        <f t="shared" ca="1" si="5"/>
        <v>8.626250647523529E-4</v>
      </c>
      <c r="I69" s="405">
        <f t="shared" ca="1" si="6"/>
        <v>8.6880735006938817E-4</v>
      </c>
      <c r="J69" s="405">
        <f t="shared" ca="1" si="7"/>
        <v>7.1794209433677407</v>
      </c>
      <c r="K69" s="412">
        <f t="shared" ca="1" si="8"/>
        <v>7.1646365262802352</v>
      </c>
      <c r="L69" s="415">
        <f t="shared" ca="1" si="9"/>
        <v>9.7898025804064943</v>
      </c>
      <c r="M69" s="418">
        <f t="shared" ca="1" si="10"/>
        <v>2.7292363810855376</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0:D10"/>
    <mergeCell ref="C9:D9"/>
    <mergeCell ref="C2:D3"/>
    <mergeCell ref="C4:D4"/>
    <mergeCell ref="C5:D5"/>
    <mergeCell ref="C7:D7"/>
    <mergeCell ref="C8:D8"/>
    <mergeCell ref="C11:D11"/>
    <mergeCell ref="C13:D13"/>
    <mergeCell ref="C15:D15"/>
    <mergeCell ref="C16:D16"/>
    <mergeCell ref="C17:D17"/>
    <mergeCell ref="C12:D12"/>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baseColWidth="10" defaultRowHeight="12.75" x14ac:dyDescent="0.2"/>
  <cols>
    <col min="1" max="1" width="2.140625" customWidth="1"/>
    <col min="2" max="2" width="16.140625" customWidth="1"/>
    <col min="3" max="4" width="13.5703125" customWidth="1"/>
  </cols>
  <sheetData>
    <row r="2" spans="3:8" x14ac:dyDescent="0.2">
      <c r="C2" s="598" t="s">
        <v>178</v>
      </c>
      <c r="D2" s="598"/>
    </row>
    <row r="3" spans="3:8" x14ac:dyDescent="0.2">
      <c r="C3" s="598"/>
      <c r="D3" s="598"/>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542</v>
      </c>
      <c r="D47" t="s">
        <v>395</v>
      </c>
      <c r="E47" s="16">
        <v>43048</v>
      </c>
      <c r="F47" t="s">
        <v>543</v>
      </c>
    </row>
    <row r="48" spans="3:6" x14ac:dyDescent="0.2">
      <c r="C48" t="s">
        <v>546</v>
      </c>
      <c r="D48" t="s">
        <v>395</v>
      </c>
      <c r="E48" s="16">
        <v>44160</v>
      </c>
      <c r="F48" t="s">
        <v>547</v>
      </c>
    </row>
    <row r="49" spans="3:6" x14ac:dyDescent="0.2">
      <c r="C49" t="s">
        <v>555</v>
      </c>
      <c r="D49" t="s">
        <v>553</v>
      </c>
      <c r="E49" s="16">
        <v>45300</v>
      </c>
      <c r="F49" t="s">
        <v>554</v>
      </c>
    </row>
    <row r="50" spans="3:6" x14ac:dyDescent="0.2">
      <c r="C50" t="s">
        <v>557</v>
      </c>
      <c r="D50" t="s">
        <v>395</v>
      </c>
      <c r="E50" s="16">
        <v>45322</v>
      </c>
      <c r="F50" t="s">
        <v>562</v>
      </c>
    </row>
    <row r="51" spans="3:6" x14ac:dyDescent="0.2">
      <c r="C51" t="s">
        <v>566</v>
      </c>
      <c r="D51" t="s">
        <v>395</v>
      </c>
      <c r="E51" s="16">
        <v>45325</v>
      </c>
      <c r="F51" t="s">
        <v>565</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429</v>
      </c>
      <c r="N3" s="75"/>
      <c r="O3" s="6"/>
      <c r="P3" s="273" t="s">
        <v>340</v>
      </c>
      <c r="Q3" s="441">
        <f>Long_ogive</f>
        <v>252</v>
      </c>
      <c r="R3" s="48"/>
      <c r="S3" s="48"/>
      <c r="T3" s="48"/>
      <c r="U3" s="48"/>
    </row>
    <row r="4" spans="2:21" ht="15.75" customHeight="1" x14ac:dyDescent="0.2">
      <c r="B4" s="74"/>
      <c r="D4" s="2" t="s">
        <v>564</v>
      </c>
      <c r="E4" t="str">
        <f>Matricule</f>
        <v/>
      </c>
      <c r="N4" s="75"/>
      <c r="O4" s="6"/>
      <c r="P4" s="273"/>
      <c r="Q4" s="436"/>
      <c r="R4" s="48"/>
      <c r="S4" s="48"/>
      <c r="T4" s="48"/>
      <c r="U4" s="48"/>
    </row>
    <row r="5" spans="2:21" ht="15.75" customHeight="1" x14ac:dyDescent="0.2">
      <c r="B5" s="74"/>
      <c r="D5" t="s">
        <v>462</v>
      </c>
      <c r="E5" t="str">
        <f>Propu</f>
        <v>Pandora (Pro24-6G BS)</v>
      </c>
      <c r="G5" t="s">
        <v>459</v>
      </c>
      <c r="H5">
        <f>MasseSans</f>
        <v>2.5950000000000002</v>
      </c>
      <c r="N5" s="75"/>
      <c r="O5" s="6"/>
      <c r="P5" s="273"/>
      <c r="Q5" s="436"/>
      <c r="R5" s="48"/>
      <c r="S5" s="48"/>
      <c r="T5" s="48"/>
      <c r="U5" s="48"/>
    </row>
    <row r="6" spans="2:21" x14ac:dyDescent="0.2">
      <c r="B6" s="74"/>
      <c r="D6" t="s">
        <v>455</v>
      </c>
      <c r="E6" s="2" t="str">
        <f>Trajecto!H34</f>
        <v>Brun/Orange…</v>
      </c>
      <c r="G6" t="s">
        <v>460</v>
      </c>
      <c r="H6">
        <f>D_ref</f>
        <v>84</v>
      </c>
      <c r="N6" s="75"/>
      <c r="O6" s="6"/>
      <c r="P6" s="273"/>
      <c r="Q6" s="436"/>
      <c r="R6" s="48"/>
      <c r="S6" s="48"/>
      <c r="T6" s="48"/>
      <c r="U6" s="48"/>
    </row>
    <row r="7" spans="2:21" x14ac:dyDescent="0.2">
      <c r="B7" s="74"/>
      <c r="D7" t="s">
        <v>457</v>
      </c>
      <c r="E7" s="2" t="str">
        <f>Trajecto!H35</f>
        <v>Rouge…</v>
      </c>
      <c r="G7" t="s">
        <v>5</v>
      </c>
      <c r="H7">
        <f>Cx</f>
        <v>0.6</v>
      </c>
      <c r="N7" s="75"/>
      <c r="O7" s="6"/>
      <c r="P7" s="273"/>
      <c r="Q7" s="436"/>
      <c r="R7" s="48"/>
      <c r="S7" s="48"/>
      <c r="T7" s="48"/>
      <c r="U7" s="48"/>
    </row>
    <row r="8" spans="2:21" x14ac:dyDescent="0.2">
      <c r="B8" s="74"/>
      <c r="D8" t="s">
        <v>458</v>
      </c>
      <c r="E8" s="2">
        <f>S_para</f>
        <v>0.48049999999999998</v>
      </c>
      <c r="G8" t="s">
        <v>461</v>
      </c>
      <c r="H8">
        <f>L_rampe</f>
        <v>2.5</v>
      </c>
      <c r="N8" s="75"/>
      <c r="O8" s="6"/>
      <c r="P8" s="273"/>
      <c r="Q8" s="436"/>
      <c r="R8" s="48"/>
      <c r="S8" s="48"/>
      <c r="T8" s="48"/>
      <c r="U8" s="48"/>
    </row>
    <row r="9" spans="2:21" x14ac:dyDescent="0.2">
      <c r="B9" s="74"/>
      <c r="D9" t="s">
        <v>456</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454</v>
      </c>
      <c r="E11" s="243">
        <f>MasseSans</f>
        <v>2.5950000000000002</v>
      </c>
      <c r="F11" s="246" t="s">
        <v>123</v>
      </c>
      <c r="G11" s="246" t="s">
        <v>125</v>
      </c>
      <c r="H11" s="672" t="e">
        <f ca="1">Vsortie_de_rampe</f>
        <v>#N/A</v>
      </c>
      <c r="I11" s="673"/>
      <c r="J11" s="76"/>
      <c r="N11" s="75"/>
      <c r="P11" s="48"/>
      <c r="Q11" s="436"/>
      <c r="R11" s="48"/>
      <c r="S11" s="48"/>
      <c r="T11" s="48"/>
      <c r="U11" s="440">
        <f>IF(RIGHT(Nb_diam,1)=",", "", X_j)</f>
        <v>0</v>
      </c>
    </row>
    <row r="12" spans="2:21" ht="13.5" thickBot="1" x14ac:dyDescent="0.25">
      <c r="B12" s="74"/>
      <c r="C12" s="12"/>
      <c r="D12" s="276"/>
      <c r="E12" s="244"/>
      <c r="F12" s="6" t="s">
        <v>123</v>
      </c>
      <c r="G12" s="6" t="s">
        <v>126</v>
      </c>
      <c r="H12" s="674">
        <f>Finesse</f>
        <v>11.80952380952381</v>
      </c>
      <c r="I12" s="675"/>
      <c r="J12" s="76"/>
      <c r="N12" s="75"/>
      <c r="O12" s="6"/>
      <c r="P12" s="273" t="s">
        <v>341</v>
      </c>
      <c r="Q12" s="441">
        <f>D_og</f>
        <v>84</v>
      </c>
      <c r="R12" s="48"/>
      <c r="S12" s="48"/>
      <c r="T12" s="48"/>
      <c r="U12" s="436"/>
    </row>
    <row r="13" spans="2:21" x14ac:dyDescent="0.2">
      <c r="B13" s="74"/>
      <c r="C13" s="12"/>
      <c r="D13" s="276" t="s">
        <v>5</v>
      </c>
      <c r="E13" s="244">
        <f>Cx</f>
        <v>0.6</v>
      </c>
      <c r="F13" s="6" t="s">
        <v>123</v>
      </c>
      <c r="G13" s="6" t="s">
        <v>433</v>
      </c>
      <c r="H13" s="674">
        <f>Cn</f>
        <v>15.602161052846441</v>
      </c>
      <c r="I13" s="675"/>
      <c r="J13" s="76"/>
      <c r="N13" s="75"/>
      <c r="O13" s="6"/>
      <c r="P13" s="48"/>
      <c r="Q13" s="436"/>
      <c r="R13" s="48"/>
      <c r="S13" s="48"/>
      <c r="T13" s="48"/>
      <c r="U13" s="440">
        <f>IF(RIGHT(Nb_diam,1)=",", "", X_r)</f>
        <v>0</v>
      </c>
    </row>
    <row r="14" spans="2:21" x14ac:dyDescent="0.2">
      <c r="B14" s="74"/>
      <c r="C14" s="12"/>
      <c r="D14" s="276" t="s">
        <v>143</v>
      </c>
      <c r="E14" s="244">
        <f>L_rampe</f>
        <v>2.5</v>
      </c>
      <c r="F14" s="6" t="s">
        <v>123</v>
      </c>
      <c r="G14" s="6" t="s">
        <v>127</v>
      </c>
      <c r="H14" s="247">
        <f ca="1">MS_min</f>
        <v>2.6620835297181098</v>
      </c>
      <c r="I14" s="254">
        <f ca="1">MS_max</f>
        <v>2.7570070734674941</v>
      </c>
      <c r="J14" s="76"/>
      <c r="K14" s="76"/>
      <c r="N14" s="75"/>
      <c r="P14" s="48"/>
      <c r="Q14" s="436"/>
      <c r="R14" s="48"/>
      <c r="S14" s="48"/>
      <c r="T14" s="48"/>
      <c r="U14" s="436"/>
    </row>
    <row r="15" spans="2:21" x14ac:dyDescent="0.2">
      <c r="B15" s="74"/>
      <c r="C15" s="12"/>
      <c r="D15" s="276" t="s">
        <v>144</v>
      </c>
      <c r="E15" s="244">
        <f>ep_ail</f>
        <v>3</v>
      </c>
      <c r="F15" s="6" t="s">
        <v>123</v>
      </c>
      <c r="G15" s="6" t="s">
        <v>124</v>
      </c>
      <c r="H15" s="247">
        <f ca="1">MS_Cn_min</f>
        <v>41.534255966791875</v>
      </c>
      <c r="I15" s="254">
        <f ca="1">MS_Cn_max</f>
        <v>43.015268384076684</v>
      </c>
      <c r="J15" s="76"/>
      <c r="K15" s="76"/>
      <c r="N15" s="75"/>
      <c r="P15" s="48"/>
      <c r="Q15" s="436"/>
      <c r="R15" s="48"/>
      <c r="S15" s="48"/>
      <c r="T15" s="48"/>
    </row>
    <row r="16" spans="2:21" x14ac:dyDescent="0.2">
      <c r="B16" s="74"/>
      <c r="C16" s="12"/>
      <c r="D16" s="276" t="s">
        <v>145</v>
      </c>
      <c r="E16" s="244">
        <f>Q_ail</f>
        <v>4</v>
      </c>
      <c r="F16" s="6" t="s">
        <v>128</v>
      </c>
      <c r="G16" s="6" t="s">
        <v>129</v>
      </c>
      <c r="H16" s="247">
        <f ca="1">V_para</f>
        <v>9.4502964704134236</v>
      </c>
      <c r="I16" s="253">
        <f>V_satellite</f>
        <v>10.960038730752361</v>
      </c>
      <c r="J16" s="76"/>
      <c r="N16" s="75"/>
      <c r="P16" s="48"/>
      <c r="Q16" s="436"/>
      <c r="R16" s="48"/>
      <c r="S16" s="48"/>
      <c r="T16" s="48"/>
      <c r="U16" s="440">
        <f>IF(RIGHT(Nb_diam,1)=",", "", l_j)</f>
        <v>0</v>
      </c>
    </row>
    <row r="17" spans="2:21" x14ac:dyDescent="0.2">
      <c r="B17" s="74"/>
      <c r="C17" s="12"/>
      <c r="D17" s="276" t="s">
        <v>146</v>
      </c>
      <c r="E17" s="272" t="str">
        <f>Forme_ogive</f>
        <v>Conique (droite)</v>
      </c>
      <c r="F17" s="6" t="s">
        <v>130</v>
      </c>
      <c r="G17" s="6" t="s">
        <v>131</v>
      </c>
      <c r="H17" s="674">
        <f>T_para</f>
        <v>15.5</v>
      </c>
      <c r="I17" s="675"/>
      <c r="J17" s="258"/>
      <c r="N17" s="75"/>
      <c r="P17" s="434" t="s">
        <v>342</v>
      </c>
      <c r="Q17" s="440">
        <f>IF(RIGHT(Nb_diam,1)=",", "", D2j)</f>
        <v>0</v>
      </c>
      <c r="R17" s="48"/>
      <c r="S17" s="48"/>
      <c r="T17" s="48"/>
      <c r="U17" s="436"/>
    </row>
    <row r="18" spans="2:21" x14ac:dyDescent="0.2">
      <c r="B18" s="74"/>
      <c r="C18" s="12"/>
      <c r="D18" s="276" t="s">
        <v>148</v>
      </c>
      <c r="E18" s="244">
        <f ca="1">XpropuRef-Long_propu</f>
        <v>714</v>
      </c>
      <c r="F18" s="12" t="s">
        <v>130</v>
      </c>
      <c r="G18" s="12" t="s">
        <v>427</v>
      </c>
      <c r="H18" s="602">
        <f ca="1">T_para-Combustion-Depotage</f>
        <v>1.5299999999999994</v>
      </c>
      <c r="I18" s="680"/>
      <c r="N18" s="75"/>
      <c r="P18" s="48"/>
      <c r="Q18" s="436"/>
      <c r="R18" s="48"/>
      <c r="S18" s="48"/>
    </row>
    <row r="19" spans="2:21" x14ac:dyDescent="0.2">
      <c r="B19" s="74"/>
      <c r="C19" s="531"/>
      <c r="D19" s="269"/>
      <c r="E19" s="271"/>
      <c r="F19" s="519" t="s">
        <v>132</v>
      </c>
      <c r="G19" s="274" t="s">
        <v>426</v>
      </c>
      <c r="H19" s="681">
        <f ca="1">Portee_balistique</f>
        <v>711.72888807733182</v>
      </c>
      <c r="I19" s="682"/>
      <c r="N19" s="75"/>
      <c r="P19" s="48"/>
      <c r="Q19" s="436"/>
      <c r="R19" s="48"/>
      <c r="S19" s="48"/>
      <c r="T19" s="48"/>
    </row>
    <row r="20" spans="2:21" x14ac:dyDescent="0.2">
      <c r="B20" s="74"/>
      <c r="C20" s="12"/>
      <c r="D20" s="6"/>
      <c r="E20" s="6"/>
      <c r="H20" s="518"/>
      <c r="I20" s="518"/>
      <c r="N20" s="75"/>
      <c r="P20" s="48"/>
      <c r="Q20" s="436"/>
      <c r="R20" s="48"/>
      <c r="S20" s="48"/>
      <c r="T20" s="48"/>
      <c r="U20" s="440">
        <f>IF(RIGHT(Nb_diam,1)=",", "", l_r)</f>
        <v>0</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453</v>
      </c>
      <c r="D22" s="526" t="s">
        <v>437</v>
      </c>
      <c r="E22" s="527"/>
      <c r="F22" s="528" t="s">
        <v>442</v>
      </c>
      <c r="G22" s="526" t="s">
        <v>447</v>
      </c>
      <c r="I22" s="529"/>
      <c r="J22" s="530" t="s">
        <v>156</v>
      </c>
      <c r="K22" s="526" t="s">
        <v>157</v>
      </c>
      <c r="N22" s="75"/>
      <c r="O22" s="273"/>
      <c r="P22" s="436"/>
      <c r="Q22" s="48"/>
      <c r="R22" s="48"/>
      <c r="S22" s="48"/>
      <c r="T22" s="226"/>
      <c r="U22" s="436"/>
    </row>
    <row r="23" spans="2:21" x14ac:dyDescent="0.2">
      <c r="B23" s="74"/>
      <c r="C23" s="526" t="s">
        <v>452</v>
      </c>
      <c r="D23" s="527">
        <f>XcgSans</f>
        <v>528</v>
      </c>
      <c r="E23" s="527" t="s">
        <v>38</v>
      </c>
      <c r="F23" s="528">
        <f>m_ail</f>
        <v>170</v>
      </c>
      <c r="G23" s="526">
        <f>m_can</f>
        <v>180</v>
      </c>
      <c r="I23" s="529" t="s">
        <v>448</v>
      </c>
      <c r="J23" s="528">
        <f>l_j</f>
        <v>0</v>
      </c>
      <c r="K23" s="526">
        <f>l_r</f>
        <v>0</v>
      </c>
      <c r="N23" s="75"/>
      <c r="O23" s="273"/>
      <c r="P23" s="436"/>
      <c r="Q23" s="48"/>
      <c r="R23" s="48"/>
      <c r="S23" s="48"/>
      <c r="T23" s="226"/>
      <c r="U23" s="436"/>
    </row>
    <row r="24" spans="2:21" x14ac:dyDescent="0.2">
      <c r="B24" s="74"/>
      <c r="C24" s="526" t="s">
        <v>440</v>
      </c>
      <c r="D24" s="526">
        <f>Long_tot</f>
        <v>992</v>
      </c>
      <c r="E24" s="527" t="s">
        <v>443</v>
      </c>
      <c r="F24" s="528">
        <f>n_ail</f>
        <v>80</v>
      </c>
      <c r="G24" s="526">
        <f>n_can</f>
        <v>80</v>
      </c>
      <c r="I24" s="529" t="s">
        <v>449</v>
      </c>
      <c r="J24" s="528">
        <f>D1j</f>
        <v>0</v>
      </c>
      <c r="K24" s="526">
        <f>D1r</f>
        <v>0</v>
      </c>
      <c r="N24" s="75"/>
      <c r="O24" s="273"/>
      <c r="P24" s="436"/>
      <c r="Q24" s="48"/>
      <c r="R24" s="48"/>
      <c r="S24" s="48"/>
      <c r="T24" s="226"/>
      <c r="U24" s="436"/>
    </row>
    <row r="25" spans="2:21" x14ac:dyDescent="0.2">
      <c r="B25" s="74"/>
      <c r="C25" s="526" t="s">
        <v>441</v>
      </c>
      <c r="D25" s="526">
        <f>XpropuRef</f>
        <v>942</v>
      </c>
      <c r="E25" s="527" t="s">
        <v>444</v>
      </c>
      <c r="F25" s="528">
        <f>p_ail</f>
        <v>120</v>
      </c>
      <c r="G25" s="526">
        <f>p_can</f>
        <v>160</v>
      </c>
      <c r="I25" s="529" t="s">
        <v>450</v>
      </c>
      <c r="J25" s="528">
        <f>D2j</f>
        <v>0</v>
      </c>
      <c r="K25" s="526">
        <f>D2r</f>
        <v>0</v>
      </c>
      <c r="N25" s="75"/>
      <c r="O25" s="273"/>
      <c r="P25" s="436"/>
      <c r="Q25" s="48"/>
      <c r="R25" s="48"/>
      <c r="S25" s="48"/>
      <c r="T25" s="226"/>
      <c r="U25" s="436"/>
    </row>
    <row r="26" spans="2:21" x14ac:dyDescent="0.2">
      <c r="B26" s="74"/>
      <c r="C26" s="526" t="s">
        <v>438</v>
      </c>
      <c r="D26" s="526">
        <f>D_ref</f>
        <v>84</v>
      </c>
      <c r="E26" s="527" t="s">
        <v>445</v>
      </c>
      <c r="F26" s="528">
        <f>E_ail</f>
        <v>107</v>
      </c>
      <c r="G26" s="526">
        <f>E_can</f>
        <v>110</v>
      </c>
      <c r="I26" s="529" t="s">
        <v>451</v>
      </c>
      <c r="J26" s="528">
        <f>X_j</f>
        <v>0</v>
      </c>
      <c r="K26" s="526">
        <f>X_r</f>
        <v>0</v>
      </c>
      <c r="N26" s="75"/>
      <c r="O26" s="273"/>
      <c r="P26" s="436"/>
      <c r="Q26" s="48"/>
      <c r="R26" s="48"/>
      <c r="S26" s="48"/>
      <c r="T26" s="226"/>
      <c r="U26" s="436"/>
    </row>
    <row r="27" spans="2:21" x14ac:dyDescent="0.2">
      <c r="B27" s="74"/>
      <c r="C27" s="526" t="s">
        <v>439</v>
      </c>
      <c r="D27" s="526">
        <f>Long_ogive</f>
        <v>252</v>
      </c>
      <c r="E27" s="527" t="s">
        <v>446</v>
      </c>
      <c r="F27" s="528">
        <f>X_ail</f>
        <v>942</v>
      </c>
      <c r="G27" s="526">
        <f>X_can</f>
        <v>1250</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7" t="s">
        <v>141</v>
      </c>
      <c r="D29" s="677" t="s">
        <v>133</v>
      </c>
      <c r="E29" s="677" t="s">
        <v>134</v>
      </c>
      <c r="F29" s="677"/>
      <c r="G29" s="677"/>
      <c r="H29" s="678" t="s">
        <v>135</v>
      </c>
      <c r="I29" s="678"/>
      <c r="J29" s="678"/>
      <c r="K29" s="678"/>
      <c r="L29" s="677" t="s">
        <v>136</v>
      </c>
      <c r="M29" s="677" t="s">
        <v>137</v>
      </c>
      <c r="N29" s="75"/>
      <c r="O29" s="273" t="s">
        <v>430</v>
      </c>
      <c r="P29" s="441">
        <f>n_ail</f>
        <v>80</v>
      </c>
      <c r="Q29" s="2"/>
      <c r="R29" s="48"/>
      <c r="S29" s="48"/>
      <c r="T29" s="48"/>
      <c r="U29" s="12" t="s">
        <v>434</v>
      </c>
    </row>
    <row r="30" spans="2:21" ht="13.5" thickBot="1" x14ac:dyDescent="0.25">
      <c r="B30" s="74"/>
      <c r="C30" s="677"/>
      <c r="D30" s="677"/>
      <c r="E30" s="677"/>
      <c r="F30" s="677"/>
      <c r="G30" s="677"/>
      <c r="H30" s="678" t="s">
        <v>138</v>
      </c>
      <c r="I30" s="678"/>
      <c r="J30" s="69" t="s">
        <v>139</v>
      </c>
      <c r="K30" s="70" t="s">
        <v>140</v>
      </c>
      <c r="L30" s="677"/>
      <c r="M30" s="677"/>
      <c r="N30" s="75"/>
      <c r="P30" s="12"/>
      <c r="R30" s="48"/>
      <c r="S30" s="48"/>
      <c r="T30" s="226" t="s">
        <v>432</v>
      </c>
      <c r="U30" s="523">
        <f>[0]!p_can</f>
        <v>160</v>
      </c>
    </row>
    <row r="31" spans="2:21" ht="13.5" thickBot="1" x14ac:dyDescent="0.25">
      <c r="B31" s="74"/>
      <c r="C31" s="83">
        <f>Beta_rampe</f>
        <v>77.775282912698117</v>
      </c>
      <c r="D31" s="84">
        <f ca="1">Portee_balistique</f>
        <v>711.72888807733182</v>
      </c>
      <c r="E31" s="676">
        <f ca="1">T_para+Dt_para</f>
        <v>170.62140937193618</v>
      </c>
      <c r="F31" s="676"/>
      <c r="G31" s="676"/>
      <c r="H31" s="679">
        <f ca="1">Altitude_culmi</f>
        <v>1465.9606677276442</v>
      </c>
      <c r="I31" s="679"/>
      <c r="J31" s="85">
        <f ca="1">Temps_culmi</f>
        <v>15.299999999999923</v>
      </c>
      <c r="K31" s="86">
        <f ca="1">Vit_culmi</f>
        <v>20.314861555342503</v>
      </c>
      <c r="L31" s="84">
        <f ca="1">Acc_max</f>
        <v>50.531497118881298</v>
      </c>
      <c r="M31" s="86">
        <f ca="1">Vit_max</f>
        <v>195.03398553178829</v>
      </c>
      <c r="N31" s="75"/>
      <c r="O31" s="273" t="s">
        <v>436</v>
      </c>
      <c r="P31" s="441">
        <f>ep_ail</f>
        <v>3</v>
      </c>
      <c r="Q31" s="2"/>
      <c r="R31" s="48"/>
      <c r="S31" s="48"/>
      <c r="T31" s="226" t="s">
        <v>344</v>
      </c>
      <c r="U31" s="523">
        <f>[0]!m_can</f>
        <v>180</v>
      </c>
    </row>
    <row r="32" spans="2:21" ht="13.5" thickBot="1" x14ac:dyDescent="0.25">
      <c r="B32" s="74"/>
      <c r="C32" s="520"/>
      <c r="D32" s="242"/>
      <c r="E32" s="247"/>
      <c r="F32" s="247"/>
      <c r="G32" s="247"/>
      <c r="H32" s="283"/>
      <c r="I32" s="283"/>
      <c r="J32" s="247"/>
      <c r="K32" s="248"/>
      <c r="L32" s="242"/>
      <c r="M32" s="248"/>
      <c r="N32" s="75"/>
      <c r="O32" s="273" t="s">
        <v>435</v>
      </c>
      <c r="P32" s="522">
        <f>Q_ail</f>
        <v>4</v>
      </c>
      <c r="Q32" s="2"/>
      <c r="R32" s="48"/>
      <c r="S32" s="48"/>
      <c r="T32" s="226" t="s">
        <v>430</v>
      </c>
      <c r="U32" s="523">
        <f>[0]!n_can</f>
        <v>80</v>
      </c>
    </row>
    <row r="33" spans="2:21" ht="13.5" thickBot="1" x14ac:dyDescent="0.25">
      <c r="B33" s="74"/>
      <c r="D33" s="80"/>
      <c r="E33" s="81"/>
      <c r="F33" s="81"/>
      <c r="G33" s="81"/>
      <c r="H33" s="82"/>
      <c r="I33" s="82"/>
      <c r="J33" s="81"/>
      <c r="K33" s="76"/>
      <c r="L33" s="80"/>
      <c r="M33" s="76"/>
      <c r="N33" s="75"/>
      <c r="O33" s="2"/>
      <c r="Q33" s="2"/>
      <c r="R33" s="48"/>
      <c r="S33" s="48"/>
      <c r="T33" s="226" t="s">
        <v>431</v>
      </c>
      <c r="U33" s="523">
        <f>[0]!E_can</f>
        <v>110</v>
      </c>
    </row>
    <row r="34" spans="2:21" ht="13.5" thickBot="1" x14ac:dyDescent="0.25">
      <c r="B34" s="77"/>
      <c r="C34" s="78"/>
      <c r="D34" s="78"/>
      <c r="E34" s="78"/>
      <c r="F34" s="78"/>
      <c r="G34" s="78"/>
      <c r="H34" s="78"/>
      <c r="I34" s="78"/>
      <c r="J34" s="78"/>
      <c r="K34" s="78"/>
      <c r="L34" s="78"/>
      <c r="M34" s="78"/>
      <c r="N34" s="79"/>
      <c r="O34" s="2"/>
      <c r="P34" s="273" t="s">
        <v>431</v>
      </c>
      <c r="Q34" s="441">
        <f>E_ail</f>
        <v>107</v>
      </c>
      <c r="T34" s="226" t="s">
        <v>436</v>
      </c>
      <c r="U34" s="523">
        <f>[0]!ep_can</f>
        <v>4</v>
      </c>
    </row>
    <row r="35" spans="2:21" x14ac:dyDescent="0.2">
      <c r="O35" s="2"/>
      <c r="P35" s="6"/>
      <c r="Q35" s="6"/>
      <c r="T35" s="226" t="s">
        <v>435</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563</v>
      </c>
      <c r="I38" t="str">
        <f>Matricule</f>
        <v/>
      </c>
      <c r="N38" s="75"/>
    </row>
    <row r="39" spans="2:21" x14ac:dyDescent="0.2">
      <c r="B39" s="74"/>
      <c r="D39" s="2"/>
      <c r="N39" s="75"/>
    </row>
    <row r="40" spans="2:21" x14ac:dyDescent="0.2">
      <c r="B40" s="74"/>
      <c r="D40" s="275" t="s">
        <v>149</v>
      </c>
      <c r="E40" s="246">
        <f>D_ref</f>
        <v>84</v>
      </c>
      <c r="F40" s="265"/>
      <c r="G40" s="265"/>
      <c r="H40" s="261" t="s">
        <v>198</v>
      </c>
      <c r="I40" s="261" t="s">
        <v>199</v>
      </c>
      <c r="J40" s="262" t="s">
        <v>200</v>
      </c>
      <c r="N40" s="75"/>
    </row>
    <row r="41" spans="2:21" x14ac:dyDescent="0.2">
      <c r="B41" s="74"/>
      <c r="D41" s="276" t="s">
        <v>147</v>
      </c>
      <c r="E41" s="6">
        <f>Long_ogive</f>
        <v>252</v>
      </c>
      <c r="F41" s="2"/>
      <c r="G41" s="2" t="s">
        <v>201</v>
      </c>
      <c r="H41" s="6">
        <f>MasseSans</f>
        <v>2.5950000000000002</v>
      </c>
      <c r="I41" s="6">
        <f ca="1">MasseVide</f>
        <v>2.6793</v>
      </c>
      <c r="J41" s="244">
        <f ca="1">MassePlein</f>
        <v>2.7549000000000001</v>
      </c>
      <c r="N41" s="75"/>
    </row>
    <row r="42" spans="2:21" x14ac:dyDescent="0.2">
      <c r="B42" s="74"/>
      <c r="D42" s="276" t="s">
        <v>150</v>
      </c>
      <c r="E42" s="6">
        <f>X_ail-m_ail</f>
        <v>772</v>
      </c>
      <c r="F42" s="255"/>
      <c r="G42" s="255" t="s">
        <v>218</v>
      </c>
      <c r="H42" s="263">
        <f>XcgSans</f>
        <v>528</v>
      </c>
      <c r="I42" s="263">
        <f ca="1">XcgVide</f>
        <v>537.43903258313742</v>
      </c>
      <c r="J42" s="245">
        <f ca="1">XcgPlein</f>
        <v>545.41261025808569</v>
      </c>
      <c r="N42" s="75"/>
    </row>
    <row r="43" spans="2:21" x14ac:dyDescent="0.2">
      <c r="B43" s="74"/>
      <c r="D43" s="276" t="str">
        <f>IF(Lang="Français","Emplanture 'm'",IF(Lang="English","Root edge  'm'",""))</f>
        <v>Emplanture 'm'</v>
      </c>
      <c r="E43" s="244">
        <f>m_ail</f>
        <v>170</v>
      </c>
      <c r="N43" s="75"/>
    </row>
    <row r="44" spans="2:21" x14ac:dyDescent="0.2">
      <c r="B44" s="74"/>
      <c r="D44" s="276" t="str">
        <f>IF(Lang="Français","Saumon      'n'",IF(Lang="English","Tip edge    'n'",""))</f>
        <v>Saumon      'n'</v>
      </c>
      <c r="E44" s="244">
        <f>n_ail</f>
        <v>80</v>
      </c>
      <c r="F44" s="246" t="s">
        <v>202</v>
      </c>
      <c r="G44" s="246" t="s">
        <v>207</v>
      </c>
      <c r="H44" s="672" t="e">
        <f ca="1">Vsortie_de_rampe</f>
        <v>#N/A</v>
      </c>
      <c r="I44" s="673"/>
      <c r="N44" s="75"/>
    </row>
    <row r="45" spans="2:21" x14ac:dyDescent="0.2">
      <c r="B45" s="74"/>
      <c r="D45" s="276" t="str">
        <f>IF(Lang="Français","Flèche        'p'",IF(Lang="English","Offset         'p'",""))</f>
        <v>Flèche        'p'</v>
      </c>
      <c r="E45" s="244">
        <f>p_ail</f>
        <v>120</v>
      </c>
      <c r="F45" s="6" t="s">
        <v>203</v>
      </c>
      <c r="G45" s="6" t="s">
        <v>208</v>
      </c>
      <c r="H45" s="674">
        <f>Finesse</f>
        <v>11.80952380952381</v>
      </c>
      <c r="I45" s="675"/>
      <c r="N45" s="75"/>
    </row>
    <row r="46" spans="2:21" x14ac:dyDescent="0.2">
      <c r="B46" s="74"/>
      <c r="D46" s="276" t="str">
        <f>IF(Lang="Français","Envergure   'E'",IF(Lang="English","Span          'E'",""))</f>
        <v>Envergure   'E'</v>
      </c>
      <c r="E46" s="244">
        <f>E_ail</f>
        <v>107</v>
      </c>
      <c r="F46" s="6" t="s">
        <v>204</v>
      </c>
      <c r="G46" s="6" t="s">
        <v>209</v>
      </c>
      <c r="H46" s="674">
        <f>Cn</f>
        <v>15.602161052846441</v>
      </c>
      <c r="I46" s="675"/>
      <c r="N46" s="75"/>
    </row>
    <row r="47" spans="2:21" x14ac:dyDescent="0.2">
      <c r="B47" s="74"/>
      <c r="D47" s="276" t="s">
        <v>144</v>
      </c>
      <c r="E47" s="244">
        <f>ep_ail</f>
        <v>3</v>
      </c>
      <c r="F47" s="6" t="s">
        <v>205</v>
      </c>
      <c r="G47" s="6" t="s">
        <v>210</v>
      </c>
      <c r="H47" s="247">
        <f ca="1">MS_min</f>
        <v>2.6620835297181098</v>
      </c>
      <c r="I47" s="254">
        <f ca="1">MS_max</f>
        <v>2.7570070734674941</v>
      </c>
      <c r="N47" s="75"/>
    </row>
    <row r="48" spans="2:21" x14ac:dyDescent="0.2">
      <c r="B48" s="74"/>
      <c r="D48" s="276" t="s">
        <v>145</v>
      </c>
      <c r="E48" s="244">
        <f>Q_ail</f>
        <v>4</v>
      </c>
      <c r="F48" s="274" t="s">
        <v>206</v>
      </c>
      <c r="G48" s="274" t="s">
        <v>211</v>
      </c>
      <c r="H48" s="256">
        <f ca="1">MS_Cn_min</f>
        <v>41.534255966791875</v>
      </c>
      <c r="I48" s="264">
        <f ca="1">MS_Cn_max</f>
        <v>43.015268384076684</v>
      </c>
      <c r="N48" s="75"/>
    </row>
    <row r="49" spans="2:14" x14ac:dyDescent="0.2">
      <c r="B49" s="74"/>
      <c r="D49" s="276" t="s">
        <v>148</v>
      </c>
      <c r="E49" s="244">
        <f ca="1">XpropuRef-Long_propu</f>
        <v>714</v>
      </c>
      <c r="N49" s="75"/>
    </row>
    <row r="50" spans="2:14" x14ac:dyDescent="0.2">
      <c r="B50" s="74"/>
      <c r="D50" s="276" t="s">
        <v>146</v>
      </c>
      <c r="E50" s="272" t="str">
        <f>Forme_ogive</f>
        <v>Conique (droite)</v>
      </c>
      <c r="F50" s="273" t="s">
        <v>183</v>
      </c>
      <c r="G50" s="275" t="s">
        <v>5</v>
      </c>
      <c r="H50" s="246">
        <f>Cx</f>
        <v>0.6</v>
      </c>
      <c r="I50" s="265"/>
      <c r="J50" s="266"/>
      <c r="N50" s="75"/>
    </row>
    <row r="51" spans="2:14" x14ac:dyDescent="0.2">
      <c r="B51" s="74"/>
      <c r="D51" s="276" t="s">
        <v>142</v>
      </c>
      <c r="E51" s="244">
        <f>Long_tot</f>
        <v>992</v>
      </c>
      <c r="G51" s="276" t="s">
        <v>212</v>
      </c>
      <c r="H51" s="6">
        <f>Sref</f>
        <v>6.8257694409323945E-3</v>
      </c>
      <c r="J51" s="267"/>
      <c r="N51" s="75"/>
    </row>
    <row r="52" spans="2:14" x14ac:dyDescent="0.2">
      <c r="B52" s="74"/>
      <c r="D52" s="276" t="s">
        <v>196</v>
      </c>
      <c r="E52" s="244">
        <f>MAX(D_ref,D_ail,D_og,(RIGHT(Nb_diam,1)=",")*MAX(D1j,D1r,D2j,D2r))</f>
        <v>84</v>
      </c>
      <c r="G52" s="276" t="s">
        <v>213</v>
      </c>
      <c r="H52" s="6">
        <f>Beta_rampe</f>
        <v>77.775282912698117</v>
      </c>
      <c r="I52" s="6">
        <v>80</v>
      </c>
      <c r="J52" s="244">
        <v>90</v>
      </c>
      <c r="N52" s="75"/>
    </row>
    <row r="53" spans="2:14" x14ac:dyDescent="0.2">
      <c r="B53" s="74"/>
      <c r="D53" s="277" t="s">
        <v>197</v>
      </c>
      <c r="E53" s="260">
        <f>E_ail*2+D_ail</f>
        <v>298</v>
      </c>
      <c r="G53" s="278" t="s">
        <v>215</v>
      </c>
      <c r="H53" s="247">
        <f ca="1">Temps_culmi</f>
        <v>15.299999999999923</v>
      </c>
      <c r="I53" s="259"/>
      <c r="J53" s="268"/>
      <c r="N53" s="75"/>
    </row>
    <row r="54" spans="2:14" x14ac:dyDescent="0.2">
      <c r="B54" s="74"/>
      <c r="G54" s="278" t="s">
        <v>216</v>
      </c>
      <c r="H54" s="242">
        <f ca="1">Altitude_culmi</f>
        <v>1465.9606677276442</v>
      </c>
      <c r="I54" s="259"/>
      <c r="J54" s="268"/>
      <c r="N54" s="75"/>
    </row>
    <row r="55" spans="2:14" x14ac:dyDescent="0.2">
      <c r="B55" s="74"/>
      <c r="C55" s="275" t="s">
        <v>233</v>
      </c>
      <c r="D55" s="249" t="s">
        <v>60</v>
      </c>
      <c r="E55" s="243">
        <f>Long_tot</f>
        <v>992</v>
      </c>
      <c r="G55" s="278" t="s">
        <v>217</v>
      </c>
      <c r="H55" s="248">
        <f ca="1">Vit_culmi</f>
        <v>20.314861555342503</v>
      </c>
      <c r="I55" s="259"/>
      <c r="J55" s="268"/>
      <c r="N55" s="75"/>
    </row>
    <row r="56" spans="2:14" x14ac:dyDescent="0.2">
      <c r="B56" s="74"/>
      <c r="C56" s="276"/>
      <c r="D56" s="2" t="s">
        <v>219</v>
      </c>
      <c r="E56" s="244">
        <f>MAX(D_ref,D_ail,D_og,(RIGHT(Nb_diam,1)=",")*MAX(D1j,D1r,D2j,D2r))</f>
        <v>84</v>
      </c>
      <c r="G56" s="278" t="s">
        <v>133</v>
      </c>
      <c r="H56" s="242">
        <f ca="1">Portee_balistique</f>
        <v>711.72888807733182</v>
      </c>
      <c r="I56" s="259"/>
      <c r="J56" s="268"/>
      <c r="N56" s="75"/>
    </row>
    <row r="57" spans="2:14" x14ac:dyDescent="0.2">
      <c r="B57" s="74"/>
      <c r="C57" s="276"/>
      <c r="D57" s="2" t="s">
        <v>220</v>
      </c>
      <c r="E57" s="244">
        <f>E_ail*2+D_ail</f>
        <v>298</v>
      </c>
      <c r="G57" s="278" t="s">
        <v>214</v>
      </c>
      <c r="H57" s="242">
        <f ca="1">T_balistique</f>
        <v>36.600000000000207</v>
      </c>
      <c r="I57" s="259"/>
      <c r="J57" s="268"/>
      <c r="N57" s="75"/>
    </row>
    <row r="58" spans="2:14" x14ac:dyDescent="0.2">
      <c r="B58" s="74"/>
      <c r="C58" s="276"/>
      <c r="D58" s="2" t="s">
        <v>221</v>
      </c>
      <c r="E58" s="244">
        <f ca="1">MassePlein</f>
        <v>2.7549000000000001</v>
      </c>
      <c r="G58" s="278" t="s">
        <v>137</v>
      </c>
      <c r="H58" s="248">
        <f ca="1">Vit_max</f>
        <v>195.03398553178829</v>
      </c>
      <c r="I58" s="259"/>
      <c r="J58" s="268"/>
      <c r="N58" s="75"/>
    </row>
    <row r="59" spans="2:14" x14ac:dyDescent="0.2">
      <c r="B59" s="74"/>
      <c r="C59" s="277" t="s">
        <v>234</v>
      </c>
      <c r="D59" s="255" t="s">
        <v>145</v>
      </c>
      <c r="E59" s="260">
        <f>Q_ail</f>
        <v>4</v>
      </c>
      <c r="G59" s="278" t="s">
        <v>136</v>
      </c>
      <c r="H59" s="242">
        <f ca="1">Acc_max</f>
        <v>50.531497118881298</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278.4184428256122</v>
      </c>
      <c r="F62" s="280">
        <f ca="1">E62/9.81</f>
        <v>28.381084895577185</v>
      </c>
      <c r="H62" s="2"/>
      <c r="I62" s="2"/>
      <c r="J62" s="2"/>
      <c r="K62" s="2"/>
      <c r="N62" s="75"/>
    </row>
    <row r="63" spans="2:14" x14ac:dyDescent="0.2">
      <c r="B63" s="74"/>
      <c r="C63" s="276"/>
      <c r="D63" s="2" t="s">
        <v>223</v>
      </c>
      <c r="E63" s="242">
        <f ca="1">2*Acc_max*Masse_ail</f>
        <v>8.1103052875804487</v>
      </c>
      <c r="F63" s="248">
        <f ca="1">E63/9.81</f>
        <v>0.82673856142512214</v>
      </c>
      <c r="G63" s="246" t="s">
        <v>229</v>
      </c>
      <c r="H63" s="288">
        <f>S_ail*(ep_ail/1000)*2000</f>
        <v>8.0250000000000002E-2</v>
      </c>
      <c r="I63" s="2"/>
      <c r="J63" s="2"/>
      <c r="K63" s="2"/>
      <c r="N63" s="75"/>
    </row>
    <row r="64" spans="2:14" x14ac:dyDescent="0.2">
      <c r="B64" s="74"/>
      <c r="C64" s="277"/>
      <c r="D64" s="255" t="s">
        <v>224</v>
      </c>
      <c r="E64" s="263">
        <f ca="1">0.104*S_ail*Vit_max^2</f>
        <v>52.911213417767591</v>
      </c>
      <c r="F64" s="281">
        <f ca="1">E64/9.81</f>
        <v>5.3935997367754931</v>
      </c>
      <c r="G64" s="274" t="s">
        <v>228</v>
      </c>
      <c r="H64" s="289">
        <f>(E_ail*(m_ail+n_ail)/2)/10^6</f>
        <v>1.3375E-2</v>
      </c>
      <c r="I64" s="2"/>
      <c r="J64" s="2"/>
      <c r="K64" s="2"/>
      <c r="N64" s="75"/>
    </row>
    <row r="65" spans="2:14" x14ac:dyDescent="0.2">
      <c r="B65" s="74"/>
      <c r="C65" s="282" t="s">
        <v>242</v>
      </c>
      <c r="D65" s="285" t="s">
        <v>240</v>
      </c>
      <c r="E65" s="286">
        <f ca="1">2*Acc_max*H65</f>
        <v>139.2092214128061</v>
      </c>
      <c r="F65" s="286">
        <f ca="1">E65/9.81</f>
        <v>14.190542447788593</v>
      </c>
      <c r="G65" s="287" t="s">
        <v>241</v>
      </c>
      <c r="H65" s="279">
        <f ca="1">E58/2</f>
        <v>1.3774500000000001</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15.5</v>
      </c>
      <c r="I67" s="251">
        <f ca="1">Temps_culmi</f>
        <v>15.299999999999923</v>
      </c>
      <c r="J67" s="2"/>
      <c r="K67" s="2"/>
      <c r="N67" s="75"/>
    </row>
    <row r="68" spans="2:14" x14ac:dyDescent="0.2">
      <c r="B68" s="74"/>
      <c r="C68" s="6"/>
      <c r="D68" s="2"/>
      <c r="E68" s="2"/>
      <c r="F68" s="275" t="s">
        <v>231</v>
      </c>
      <c r="G68" s="249" t="s">
        <v>129</v>
      </c>
      <c r="H68" s="250">
        <f ca="1">V_para</f>
        <v>9.4502964704134236</v>
      </c>
      <c r="I68" s="251">
        <f>V_satellite</f>
        <v>10.960038730752361</v>
      </c>
      <c r="J68" s="2"/>
      <c r="K68" s="2"/>
      <c r="N68" s="75"/>
    </row>
    <row r="69" spans="2:14" x14ac:dyDescent="0.2">
      <c r="B69" s="74"/>
      <c r="C69" s="6"/>
      <c r="D69" s="2"/>
      <c r="E69" s="2"/>
      <c r="F69" s="276"/>
      <c r="G69" s="2" t="s">
        <v>237</v>
      </c>
      <c r="H69" s="247">
        <f>S_para</f>
        <v>0.48049999999999998</v>
      </c>
      <c r="I69" s="253">
        <f>S_satellite</f>
        <v>0.02</v>
      </c>
      <c r="J69" s="2"/>
      <c r="K69" s="2"/>
      <c r="N69" s="75"/>
    </row>
    <row r="70" spans="2:14" x14ac:dyDescent="0.2">
      <c r="B70" s="74"/>
      <c r="C70" s="226"/>
      <c r="D70" s="2"/>
      <c r="F70" s="276"/>
      <c r="G70" s="2" t="s">
        <v>236</v>
      </c>
      <c r="H70" s="247">
        <f ca="1">V_ouverture</f>
        <v>20.256786888731444</v>
      </c>
      <c r="I70" s="253">
        <f ca="1">V_ouv_sat</f>
        <v>169.65509087837506</v>
      </c>
      <c r="N70" s="75"/>
    </row>
    <row r="71" spans="2:14" x14ac:dyDescent="0.2">
      <c r="B71" s="74"/>
      <c r="C71" s="226"/>
      <c r="F71" s="276"/>
      <c r="G71" s="2" t="s">
        <v>201</v>
      </c>
      <c r="H71" s="247">
        <f ca="1">m_vide</f>
        <v>2.6793</v>
      </c>
      <c r="I71" s="253">
        <f>m_satellite</f>
        <v>0.15</v>
      </c>
      <c r="N71" s="75"/>
    </row>
    <row r="72" spans="2:14" x14ac:dyDescent="0.2">
      <c r="B72" s="74"/>
      <c r="C72" s="226"/>
      <c r="F72" s="276"/>
      <c r="G72" s="2" t="s">
        <v>238</v>
      </c>
      <c r="H72" s="283">
        <f ca="1">1/2*Rho_moyen*S_para*V_ouverture^2</f>
        <v>120.7648658596725</v>
      </c>
      <c r="I72" s="284">
        <f ca="1">1/2*Rho_moyen*S_satellite*V_ouv_sat^2</f>
        <v>352.58991079663383</v>
      </c>
      <c r="N72" s="75"/>
    </row>
    <row r="73" spans="2:14" x14ac:dyDescent="0.2">
      <c r="B73" s="74"/>
      <c r="D73" s="2"/>
      <c r="F73" s="277"/>
      <c r="G73" s="255" t="s">
        <v>239</v>
      </c>
      <c r="H73" s="256">
        <f ca="1">H72/9.81</f>
        <v>12.310383879681192</v>
      </c>
      <c r="I73" s="257">
        <f ca="1">I72/9.81</f>
        <v>35.941886931359207</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SP02-Alpha</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252</v>
      </c>
      <c r="G82" s="48"/>
      <c r="H82" s="48"/>
      <c r="I82" s="48"/>
      <c r="J82" s="48"/>
      <c r="K82" s="48"/>
      <c r="N82" s="75"/>
    </row>
    <row r="83" spans="2:14" x14ac:dyDescent="0.2">
      <c r="B83" s="74"/>
      <c r="C83" s="277" t="s">
        <v>336</v>
      </c>
      <c r="D83" s="433">
        <f ca="1">TODAY()</f>
        <v>45931</v>
      </c>
      <c r="E83" s="48"/>
      <c r="F83" s="436"/>
      <c r="G83" s="48"/>
      <c r="H83" s="48"/>
      <c r="I83" s="48"/>
      <c r="J83" s="48"/>
      <c r="K83" s="48"/>
      <c r="N83" s="75"/>
    </row>
    <row r="84" spans="2:14" ht="13.5" thickBot="1" x14ac:dyDescent="0.25">
      <c r="B84" s="74"/>
      <c r="E84" s="48"/>
      <c r="F84" s="436"/>
      <c r="G84" s="48"/>
      <c r="H84" s="48"/>
      <c r="I84" s="48"/>
      <c r="J84" s="440">
        <f>IF(RIGHT(Nb_diam,1)=",", "", X_j)</f>
        <v>0</v>
      </c>
      <c r="K84" s="48"/>
      <c r="N84" s="75"/>
    </row>
    <row r="85" spans="2:14" ht="13.5" thickBot="1" x14ac:dyDescent="0.25">
      <c r="B85" s="74"/>
      <c r="C85" s="275" t="s">
        <v>337</v>
      </c>
      <c r="D85" s="243" t="str">
        <f>Propu</f>
        <v>Pandora (Pro24-6G BS)</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f>IF(RIGHT(Nb_diam,1)=",", "", X_r)</f>
        <v>0</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f>IF(RIGHT(Nb_diam,1)=",", "", l_j)</f>
        <v>0</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f>IF(RIGHT(Nb_diam,1)=",", "", D2j)</f>
        <v>0</v>
      </c>
      <c r="G90" s="48"/>
      <c r="H90" s="48"/>
      <c r="I90" s="48"/>
      <c r="J90" s="441">
        <f>X_ail-m_ail</f>
        <v>772</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f>IF(RIGHT(Nb_diam,1)=",", "", l_r)</f>
        <v>0</v>
      </c>
      <c r="K92" s="48"/>
      <c r="N92" s="75"/>
    </row>
    <row r="93" spans="2:14" x14ac:dyDescent="0.2">
      <c r="B93" s="74"/>
      <c r="E93" s="48"/>
      <c r="F93" s="436"/>
      <c r="G93" s="48"/>
      <c r="H93" s="48"/>
      <c r="I93" s="48"/>
      <c r="J93" s="436"/>
      <c r="K93" s="48"/>
      <c r="N93" s="75"/>
    </row>
    <row r="94" spans="2:14" x14ac:dyDescent="0.2">
      <c r="B94" s="74"/>
      <c r="E94" s="434" t="s">
        <v>343</v>
      </c>
      <c r="F94" s="440">
        <f>IF(RIGHT(Nb_diam,1)=",", "", D2r)</f>
        <v>0</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170</v>
      </c>
      <c r="G97" s="48"/>
      <c r="H97" s="48"/>
      <c r="I97" s="48"/>
      <c r="J97" s="441">
        <f>p_ail</f>
        <v>120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714</v>
      </c>
      <c r="F101" s="252"/>
      <c r="G101" s="48"/>
      <c r="H101" s="48"/>
      <c r="I101" s="48"/>
      <c r="J101" s="441">
        <f>n_ail</f>
        <v>80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107</v>
      </c>
      <c r="I105" s="273"/>
      <c r="J105" s="441">
        <f>ep_ail</f>
        <v>3</v>
      </c>
      <c r="K105" s="48"/>
      <c r="N105" s="75"/>
    </row>
    <row r="106" spans="2:14" x14ac:dyDescent="0.2">
      <c r="B106" s="74"/>
      <c r="D106" s="429"/>
      <c r="E106" s="246" t="s">
        <v>354</v>
      </c>
      <c r="F106" s="243" t="s">
        <v>353</v>
      </c>
      <c r="N106" s="75"/>
    </row>
    <row r="107" spans="2:14" x14ac:dyDescent="0.2">
      <c r="B107" s="74"/>
      <c r="D107" s="437" t="s">
        <v>351</v>
      </c>
      <c r="E107" s="6">
        <f>MasseSans</f>
        <v>2.5950000000000002</v>
      </c>
      <c r="F107" s="244">
        <f ca="1">MassePlein</f>
        <v>2.7549000000000001</v>
      </c>
      <c r="N107" s="75"/>
    </row>
    <row r="108" spans="2:14" x14ac:dyDescent="0.2">
      <c r="B108" s="74"/>
      <c r="D108" s="431" t="s">
        <v>352</v>
      </c>
      <c r="E108" s="274">
        <f>XcgSans</f>
        <v>528</v>
      </c>
      <c r="F108" s="260">
        <f ca="1">XcgPlein</f>
        <v>545.41261025808569</v>
      </c>
      <c r="N108" s="75"/>
    </row>
    <row r="109" spans="2:14" x14ac:dyDescent="0.2">
      <c r="B109" s="74"/>
      <c r="N109" s="75"/>
    </row>
    <row r="110" spans="2:14" x14ac:dyDescent="0.2">
      <c r="B110" s="74"/>
      <c r="D110" s="438" t="s">
        <v>355</v>
      </c>
      <c r="E110" s="439">
        <f ca="1">MasseVide</f>
        <v>2.6793</v>
      </c>
      <c r="G110" s="429" t="s">
        <v>356</v>
      </c>
      <c r="H110" s="265"/>
      <c r="I110" s="265"/>
      <c r="J110" s="266"/>
      <c r="N110" s="75"/>
    </row>
    <row r="111" spans="2:14" x14ac:dyDescent="0.2">
      <c r="B111" s="74"/>
      <c r="G111" s="276" t="s">
        <v>213</v>
      </c>
      <c r="H111" s="6">
        <f>Beta_rampe</f>
        <v>77.775282912698117</v>
      </c>
      <c r="I111" s="6">
        <v>80</v>
      </c>
      <c r="J111" s="244">
        <v>90</v>
      </c>
      <c r="N111" s="75"/>
    </row>
    <row r="112" spans="2:14" x14ac:dyDescent="0.2">
      <c r="B112" s="74"/>
      <c r="G112" s="278" t="s">
        <v>215</v>
      </c>
      <c r="H112" s="247">
        <f ca="1">Temps_culmi</f>
        <v>15.299999999999923</v>
      </c>
      <c r="I112" s="259"/>
      <c r="J112" s="268"/>
      <c r="N112" s="75"/>
    </row>
    <row r="113" spans="2:14" ht="12.75" customHeight="1" x14ac:dyDescent="0.25">
      <c r="B113" s="74"/>
      <c r="D113" s="435" t="s">
        <v>357</v>
      </c>
      <c r="E113" s="48"/>
      <c r="G113" s="278" t="s">
        <v>216</v>
      </c>
      <c r="H113" s="242">
        <f ca="1">Altitude_culmi</f>
        <v>1465.9606677276442</v>
      </c>
      <c r="I113" s="259"/>
      <c r="J113" s="268"/>
      <c r="N113" s="75"/>
    </row>
    <row r="114" spans="2:14" ht="12.75" customHeight="1" x14ac:dyDescent="0.25">
      <c r="B114" s="74"/>
      <c r="D114" s="48"/>
      <c r="E114" s="48"/>
      <c r="F114" s="435"/>
      <c r="G114" s="278" t="s">
        <v>217</v>
      </c>
      <c r="H114" s="248">
        <f ca="1">Vit_culmi</f>
        <v>20.314861555342503</v>
      </c>
      <c r="I114" s="259"/>
      <c r="J114" s="268"/>
      <c r="N114" s="75"/>
    </row>
    <row r="115" spans="2:14" x14ac:dyDescent="0.2">
      <c r="B115" s="74"/>
      <c r="C115" s="429" t="s">
        <v>358</v>
      </c>
      <c r="D115" s="249"/>
      <c r="E115" s="446">
        <v>0.1</v>
      </c>
      <c r="G115" s="278" t="s">
        <v>133</v>
      </c>
      <c r="H115" s="242">
        <f ca="1">Portee_balistique</f>
        <v>711.72888807733182</v>
      </c>
      <c r="I115" s="259"/>
      <c r="J115" s="268"/>
      <c r="N115" s="75"/>
    </row>
    <row r="116" spans="2:14" ht="12.75" customHeight="1" x14ac:dyDescent="0.2">
      <c r="B116" s="74"/>
      <c r="C116" s="431" t="s">
        <v>359</v>
      </c>
      <c r="D116" s="255"/>
      <c r="E116" s="447">
        <f>E_ail*(m_ail+n_ail)/2</f>
        <v>13375</v>
      </c>
      <c r="G116" s="278" t="s">
        <v>137</v>
      </c>
      <c r="H116" s="248">
        <f ca="1">Vit_max</f>
        <v>195.03398553178829</v>
      </c>
      <c r="I116" s="259"/>
      <c r="J116" s="268"/>
      <c r="N116" s="75"/>
    </row>
    <row r="117" spans="2:14" ht="12.75" customHeight="1" x14ac:dyDescent="0.2">
      <c r="B117" s="74"/>
      <c r="D117" s="48"/>
      <c r="E117" s="48"/>
      <c r="F117" s="48"/>
      <c r="G117" s="278" t="s">
        <v>136</v>
      </c>
      <c r="H117" s="242">
        <f ca="1">Acc_max</f>
        <v>50.531497118881298</v>
      </c>
      <c r="I117" s="259"/>
      <c r="J117" s="268"/>
      <c r="N117" s="75"/>
    </row>
    <row r="118" spans="2:14" x14ac:dyDescent="0.2">
      <c r="B118" s="74"/>
      <c r="C118" s="429" t="s">
        <v>360</v>
      </c>
      <c r="D118" s="249"/>
      <c r="E118" s="457"/>
      <c r="F118" s="458">
        <f>J90/100</f>
        <v>7.72</v>
      </c>
      <c r="G118" s="276" t="s">
        <v>5</v>
      </c>
      <c r="H118" s="6">
        <f>Cx</f>
        <v>0.6</v>
      </c>
      <c r="I118" s="259"/>
      <c r="J118" s="268"/>
      <c r="N118" s="75"/>
    </row>
    <row r="119" spans="2:14" x14ac:dyDescent="0.2">
      <c r="B119" s="74"/>
      <c r="C119" s="437" t="s">
        <v>361</v>
      </c>
      <c r="D119" s="2"/>
      <c r="E119" s="459">
        <f ca="1">2*Acc_max*MasseSans</f>
        <v>262.25847004699398</v>
      </c>
      <c r="F119" s="460">
        <f ca="1">E119/g</f>
        <v>26.733788995616102</v>
      </c>
      <c r="G119" s="269" t="s">
        <v>222</v>
      </c>
      <c r="H119" s="270"/>
      <c r="I119" s="270"/>
      <c r="J119" s="271"/>
      <c r="N119" s="75"/>
    </row>
    <row r="120" spans="2:14" x14ac:dyDescent="0.2">
      <c r="B120" s="74"/>
      <c r="C120" s="437" t="s">
        <v>362</v>
      </c>
      <c r="D120" s="2"/>
      <c r="E120" s="459">
        <f ca="1">2*Acc_max*E115</f>
        <v>10.10629942377626</v>
      </c>
      <c r="F120" s="460">
        <f ca="1">E120/g</f>
        <v>1.0302038148599653</v>
      </c>
      <c r="N120" s="75"/>
    </row>
    <row r="121" spans="2:14" x14ac:dyDescent="0.2">
      <c r="B121" s="74"/>
      <c r="C121" s="431" t="s">
        <v>363</v>
      </c>
      <c r="D121" s="255"/>
      <c r="E121" s="452">
        <f ca="1">0.104*E116/1000000*Vit_max^2</f>
        <v>52.911213417767598</v>
      </c>
      <c r="F121" s="453">
        <f ca="1">E121/g</f>
        <v>5.393599736775494</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70" t="s">
        <v>368</v>
      </c>
      <c r="D128" s="671"/>
      <c r="E128" s="450">
        <f ca="1">0.5*Rho_moyen*S_para*Vit_culmi^2</f>
        <v>121.45830581874735</v>
      </c>
      <c r="F128" s="451">
        <f ca="1">E128/g</f>
        <v>12.381070929535916</v>
      </c>
      <c r="H128" s="48"/>
      <c r="I128" s="48"/>
      <c r="J128" s="48"/>
      <c r="K128" s="48"/>
      <c r="N128" s="75"/>
    </row>
    <row r="129" spans="2:14" x14ac:dyDescent="0.2">
      <c r="B129" s="74"/>
      <c r="C129" s="668" t="s">
        <v>369</v>
      </c>
      <c r="D129" s="669"/>
      <c r="E129" s="452">
        <f ca="1">E128/E126*2</f>
        <v>60.729152909373674</v>
      </c>
      <c r="F129" s="453">
        <f ca="1">E129/g</f>
        <v>6.190535464767958</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70" t="s">
        <v>371</v>
      </c>
      <c r="D132" s="671"/>
      <c r="E132" s="454">
        <v>1</v>
      </c>
      <c r="F132" s="48"/>
      <c r="G132" s="48"/>
      <c r="H132" s="48"/>
      <c r="I132" s="48"/>
      <c r="J132" s="442"/>
      <c r="K132" s="48"/>
      <c r="N132" s="75"/>
    </row>
    <row r="133" spans="2:14" x14ac:dyDescent="0.2">
      <c r="B133" s="74"/>
      <c r="C133" s="668" t="s">
        <v>372</v>
      </c>
      <c r="D133" s="669"/>
      <c r="E133" s="455">
        <f ca="1">2*E132*Acc_max/g</f>
        <v>10.302038148599653</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H11:I11"/>
    <mergeCell ref="H12:I12"/>
    <mergeCell ref="H13:I13"/>
    <mergeCell ref="H29:K29"/>
    <mergeCell ref="C29:C30"/>
    <mergeCell ref="D29:D30"/>
    <mergeCell ref="H17:I17"/>
    <mergeCell ref="H18:I18"/>
    <mergeCell ref="H19:I19"/>
    <mergeCell ref="E29:G30"/>
    <mergeCell ref="E31:G31"/>
    <mergeCell ref="M29:M30"/>
    <mergeCell ref="H30:I30"/>
    <mergeCell ref="L29:L30"/>
    <mergeCell ref="H31:I31"/>
    <mergeCell ref="C133:D133"/>
    <mergeCell ref="C128:D128"/>
    <mergeCell ref="C129:D129"/>
    <mergeCell ref="C132:D132"/>
    <mergeCell ref="H44:I44"/>
    <mergeCell ref="H45:I45"/>
    <mergeCell ref="H46:I46"/>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2025-10-01T12:49:45Z</dcterms:modified>
</cp:coreProperties>
</file>